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zalievRN\Desktop\"/>
    </mc:Choice>
  </mc:AlternateContent>
  <bookViews>
    <workbookView xWindow="0" yWindow="0" windowWidth="28770" windowHeight="11670"/>
  </bookViews>
  <sheets>
    <sheet name="Комм пред " sheetId="59" r:id="rId1"/>
    <sheet name="Хим. скв 21" sheetId="122" r:id="rId2"/>
    <sheet name="Хим. скв 45" sheetId="75" r:id="rId3"/>
    <sheet name="Хим. скв 156" sheetId="114" r:id="rId4"/>
    <sheet name="ГГД" sheetId="124" r:id="rId5"/>
    <sheet name="ННБ" sheetId="125" r:id="rId6"/>
    <sheet name="№9 21; 45; 156" sheetId="119" r:id="rId7"/>
    <sheet name="№1,6 Мобил., демоб  БУ" sheetId="14" r:id="rId8"/>
    <sheet name="№2.4.переезд скв. 45" sheetId="115" r:id="rId9"/>
    <sheet name="№2.4.1.переезд скв. 156" sheetId="120" r:id="rId10"/>
    <sheet name="№2.1.Монтаж БУ" sheetId="32" r:id="rId11"/>
    <sheet name="№5.1Демонтаж БУ" sheetId="33" r:id="rId12"/>
    <sheet name="№2.2 Арт.скв." sheetId="27" r:id="rId13"/>
    <sheet name="№2.3 ПНР" sheetId="18" r:id="rId14"/>
    <sheet name="№2.4.1 Тех.стаскивание" sheetId="78" state="hidden" r:id="rId15"/>
    <sheet name="№ 8.1  ННС 21" sheetId="62" r:id="rId16"/>
    <sheet name="График ВМР (пример)" sheetId="69" state="hidden" r:id="rId17"/>
    <sheet name="Расчет ННБ" sheetId="64" state="hidden" r:id="rId18"/>
    <sheet name="ГГД пилот" sheetId="110" state="hidden" r:id="rId19"/>
    <sheet name="ГГД (расчет моста)" sheetId="109" state="hidden" r:id="rId20"/>
    <sheet name="График ВМР (Самсонов)" sheetId="111" state="hidden" r:id="rId21"/>
    <sheet name="График работ" sheetId="65" state="hidden" r:id="rId22"/>
    <sheet name="№ 8.1 ГС 45" sheetId="117" r:id="rId23"/>
    <sheet name="№ 8.1 ГС 156" sheetId="121" r:id="rId24"/>
    <sheet name="№13 Суточная ставка" sheetId="31" r:id="rId25"/>
    <sheet name="№8.1.1 ЗП" sheetId="46" r:id="rId26"/>
    <sheet name="№8.1.2 Амортизация БО" sheetId="45" r:id="rId27"/>
    <sheet name=" № 8.1.3 Амортизация БХ" sheetId="44" r:id="rId28"/>
    <sheet name="№ 8.1.4 энергозатраты" sheetId="43" r:id="rId29"/>
    <sheet name="№8.1.6 Спецтехника" sheetId="41" r:id="rId30"/>
    <sheet name="№8.1.7 Проч. материалы" sheetId="97" r:id="rId31"/>
    <sheet name="№ 8.1.8 Износ буриль.труб" sheetId="39" r:id="rId32"/>
    <sheet name="№8.1.9 Содержание БО" sheetId="80" r:id="rId33"/>
    <sheet name="№ 8.1.10 Пароводоснабжение" sheetId="37" r:id="rId34"/>
    <sheet name="№8.1.12 ГСМ" sheetId="48" r:id="rId35"/>
    <sheet name="№8.1.24 Транспорт" sheetId="47" r:id="rId36"/>
    <sheet name="№12 рекультивация" sheetId="81" r:id="rId37"/>
    <sheet name="Доставка керна" sheetId="82" state="hidden" r:id="rId38"/>
    <sheet name="№14. вывоз шлама" sheetId="84" r:id="rId39"/>
    <sheet name="расчет шлама" sheetId="107" state="hidden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_NPT9" localSheetId="22">#REF!</definedName>
    <definedName name="__NPT9" localSheetId="19">#REF!</definedName>
    <definedName name="__NPT9" localSheetId="20">#REF!</definedName>
    <definedName name="__NPT9">#REF!</definedName>
    <definedName name="__PT9" localSheetId="22">#REF!</definedName>
    <definedName name="__PT9" localSheetId="19">#REF!</definedName>
    <definedName name="__PT9" localSheetId="20">#REF!</definedName>
    <definedName name="__PT9">#REF!</definedName>
    <definedName name="__TT9" localSheetId="22">#REF!</definedName>
    <definedName name="__TT9" localSheetId="20">#REF!</definedName>
    <definedName name="__TT9">#REF!</definedName>
    <definedName name="_dop1" localSheetId="22">#REF!</definedName>
    <definedName name="_dop1">#REF!</definedName>
    <definedName name="_JV1" localSheetId="22">#REF!</definedName>
    <definedName name="_JV1">#REF!</definedName>
    <definedName name="_Key1" localSheetId="22" hidden="1">#REF!</definedName>
    <definedName name="_Key1" hidden="1">#REF!</definedName>
    <definedName name="_NPT9" localSheetId="22">#REF!</definedName>
    <definedName name="_NPT9">#REF!</definedName>
    <definedName name="_Order1" hidden="1">255</definedName>
    <definedName name="_PT9" localSheetId="22">#REF!</definedName>
    <definedName name="_PT9" localSheetId="20">#REF!</definedName>
    <definedName name="_PT9">#REF!</definedName>
    <definedName name="_Sort" localSheetId="22" hidden="1">#REF!</definedName>
    <definedName name="_Sort" localSheetId="19" hidden="1">#REF!</definedName>
    <definedName name="_Sort" localSheetId="20" hidden="1">#REF!</definedName>
    <definedName name="_Sort" hidden="1">#REF!</definedName>
    <definedName name="_TT9" localSheetId="22">#REF!</definedName>
    <definedName name="_TT9" localSheetId="20">#REF!</definedName>
    <definedName name="_TT9">#REF!</definedName>
    <definedName name="_xlnm._FilterDatabase" localSheetId="7" hidden="1">'№1,6 Мобил., демоб  БУ'!#REF!</definedName>
    <definedName name="AFE">[1]DAY!$F$8</definedName>
    <definedName name="After_Prod_M3" localSheetId="22">#REF!</definedName>
    <definedName name="After_Prod_M3" localSheetId="20">#REF!</definedName>
    <definedName name="After_Prod_M3">#REF!</definedName>
    <definedName name="API_Number" localSheetId="22">#REF!</definedName>
    <definedName name="API_Number" localSheetId="19">#REF!</definedName>
    <definedName name="API_Number" localSheetId="20">#REF!</definedName>
    <definedName name="API_Number">#REF!</definedName>
    <definedName name="Asr" localSheetId="22">#REF!</definedName>
    <definedName name="Asr" localSheetId="20">#REF!</definedName>
    <definedName name="Asr">#REF!</definedName>
    <definedName name="Az">'[2]Инклин Факт'!$N$8</definedName>
    <definedName name="AzimColumn" localSheetId="22">#REF!</definedName>
    <definedName name="AzimColumn" localSheetId="20">#REF!</definedName>
    <definedName name="AzimColumn">#REF!</definedName>
    <definedName name="AzimUnit" localSheetId="22">#REF!</definedName>
    <definedName name="AzimUnit" localSheetId="19">#REF!</definedName>
    <definedName name="AzimUnit" localSheetId="20">#REF!</definedName>
    <definedName name="AzimUnit">#REF!</definedName>
    <definedName name="Before_Prod_M3" localSheetId="22">#REF!</definedName>
    <definedName name="Before_Prod_M3" localSheetId="20">#REF!</definedName>
    <definedName name="Before_Prod_M3">#REF!</definedName>
    <definedName name="Before_ProdRate_M3" localSheetId="22">#REF!</definedName>
    <definedName name="Before_ProdRate_M3">#REF!</definedName>
    <definedName name="BHCIP" localSheetId="22">#REF!</definedName>
    <definedName name="BHCIP">#REF!</definedName>
    <definedName name="Bop">1</definedName>
    <definedName name="BoreholeName" localSheetId="22">#REF!</definedName>
    <definedName name="BoreholeName" localSheetId="20">#REF!</definedName>
    <definedName name="BoreholeName">#REF!</definedName>
    <definedName name="BP_Column" localSheetId="22">NULL</definedName>
    <definedName name="BP_Column" localSheetId="19">NULL</definedName>
    <definedName name="BP_Column" localSheetId="20">NULL</definedName>
    <definedName name="BP_Column">NULL</definedName>
    <definedName name="BP_Unit" localSheetId="22">NULL</definedName>
    <definedName name="BP_Unit" localSheetId="19">NULL</definedName>
    <definedName name="BP_Unit" localSheetId="20">NULL</definedName>
    <definedName name="BP_Unit">NULL</definedName>
    <definedName name="BP_Unit1" localSheetId="22">NULL</definedName>
    <definedName name="BP_Unit1" localSheetId="19">NULL</definedName>
    <definedName name="BP_Unit1" localSheetId="20">NULL</definedName>
    <definedName name="BP_Unit1">NULL</definedName>
    <definedName name="BPCOLUMN" localSheetId="22">NULL</definedName>
    <definedName name="BPCOLUMN" localSheetId="19">NULL</definedName>
    <definedName name="BPCOLUMN" localSheetId="20">NULL</definedName>
    <definedName name="BPCOLUMN">NULL</definedName>
    <definedName name="BPUNIT" localSheetId="22">NULL</definedName>
    <definedName name="BPUNIT" localSheetId="19">NULL</definedName>
    <definedName name="BPUNIT" localSheetId="20">NULL</definedName>
    <definedName name="BPUNIT">NULL</definedName>
    <definedName name="BR_Column" localSheetId="22">NULL</definedName>
    <definedName name="BR_Column" localSheetId="19">NULL</definedName>
    <definedName name="BR_Column" localSheetId="20">NULL</definedName>
    <definedName name="BR_Column">NULL</definedName>
    <definedName name="BR_Unit" localSheetId="22">NULL</definedName>
    <definedName name="BR_Unit" localSheetId="19">NULL</definedName>
    <definedName name="BR_Unit" localSheetId="20">NULL</definedName>
    <definedName name="BR_Unit">NULL</definedName>
    <definedName name="BR_Unit1" localSheetId="22">NULL</definedName>
    <definedName name="BR_Unit1" localSheetId="19">NULL</definedName>
    <definedName name="BR_Unit1" localSheetId="20">NULL</definedName>
    <definedName name="BR_Unit1">NULL</definedName>
    <definedName name="BRCOLUMN" localSheetId="22">NULL</definedName>
    <definedName name="BRCOLUMN" localSheetId="19">NULL</definedName>
    <definedName name="BRCOLUMN" localSheetId="20">NULL</definedName>
    <definedName name="BRCOLUMN">NULL</definedName>
    <definedName name="BRUNIT" localSheetId="22">NULL</definedName>
    <definedName name="BRUNIT" localSheetId="19">NULL</definedName>
    <definedName name="BRUNIT" localSheetId="20">NULL</definedName>
    <definedName name="BRUNIT">NULL</definedName>
    <definedName name="Cas_ID" localSheetId="22">#REF!</definedName>
    <definedName name="Cas_ID" localSheetId="19">#REF!</definedName>
    <definedName name="Cas_ID" localSheetId="20">#REF!</definedName>
    <definedName name="Cas_ID">#REF!</definedName>
    <definedName name="Casing_ID" localSheetId="22">#REF!</definedName>
    <definedName name="Casing_ID" localSheetId="19">#REF!</definedName>
    <definedName name="Casing_ID" localSheetId="20">#REF!</definedName>
    <definedName name="Casing_ID">#REF!</definedName>
    <definedName name="ccfgtt" localSheetId="22">NULL</definedName>
    <definedName name="ccfgtt" localSheetId="19">NULL</definedName>
    <definedName name="ccfgtt" localSheetId="20">NULL</definedName>
    <definedName name="ccfgtt">NULL</definedName>
    <definedName name="chfgtt" localSheetId="22">NULL</definedName>
    <definedName name="chfgtt" localSheetId="19">NULL</definedName>
    <definedName name="chfgtt" localSheetId="20">NULL</definedName>
    <definedName name="chfgtt">NULL</definedName>
    <definedName name="Client" localSheetId="22">#REF!</definedName>
    <definedName name="Client" localSheetId="19">#REF!</definedName>
    <definedName name="Client" localSheetId="20">#REF!</definedName>
    <definedName name="Client">#REF!</definedName>
    <definedName name="ClosureAzimColumn" localSheetId="22">#REF!</definedName>
    <definedName name="ClosureAzimColumn" localSheetId="19">#REF!</definedName>
    <definedName name="ClosureAzimColumn" localSheetId="20">#REF!</definedName>
    <definedName name="ClosureAzimColumn">#REF!</definedName>
    <definedName name="ClosureAzimUnit" localSheetId="22">#REF!</definedName>
    <definedName name="ClosureAzimUnit" localSheetId="20">#REF!</definedName>
    <definedName name="ClosureAzimUnit">#REF!</definedName>
    <definedName name="ClosureColumn" localSheetId="22">#REF!</definedName>
    <definedName name="ClosureColumn">#REF!</definedName>
    <definedName name="ClosureUnit" localSheetId="22">#REF!</definedName>
    <definedName name="ClosureUnit">#REF!</definedName>
    <definedName name="CommentColumn" localSheetId="22">#REF!</definedName>
    <definedName name="CommentColumn">#REF!</definedName>
    <definedName name="CoordinateReference" localSheetId="22">#REF!</definedName>
    <definedName name="CoordinateReference">#REF!</definedName>
    <definedName name="CoordinateSystem" localSheetId="22">#REF!</definedName>
    <definedName name="CoordinateSystem">#REF!</definedName>
    <definedName name="D_ug" localSheetId="22">#REF!</definedName>
    <definedName name="D_ug">#REF!</definedName>
    <definedName name="DataStart" localSheetId="22">#REF!</definedName>
    <definedName name="DataStart">#REF!</definedName>
    <definedName name="Date" localSheetId="22">#REF!</definedName>
    <definedName name="Date">#REF!</definedName>
    <definedName name="DBGETVSG" localSheetId="22">NULL</definedName>
    <definedName name="DBGETVSG" localSheetId="19">NULL</definedName>
    <definedName name="DBGETVSG" localSheetId="20">NULL</definedName>
    <definedName name="DBGETVSG">NULL</definedName>
    <definedName name="DDGETVSG" localSheetId="22">NULL</definedName>
    <definedName name="DDGETVSG" localSheetId="19">NULL</definedName>
    <definedName name="DDGETVSG" localSheetId="20">NULL</definedName>
    <definedName name="DDGETVSG">NULL</definedName>
    <definedName name="ddgjmey" localSheetId="22">NULL</definedName>
    <definedName name="ddgjmey" localSheetId="19">NULL</definedName>
    <definedName name="ddgjmey" localSheetId="20">NULL</definedName>
    <definedName name="ddgjmey">NULL</definedName>
    <definedName name="dfgjmey" localSheetId="22">NULL</definedName>
    <definedName name="dfgjmey" localSheetId="19">NULL</definedName>
    <definedName name="dfgjmey" localSheetId="20">NULL</definedName>
    <definedName name="dfgjmey">NULL</definedName>
    <definedName name="diag" localSheetId="22">#REF!</definedName>
    <definedName name="diag" localSheetId="19">#REF!</definedName>
    <definedName name="diag" localSheetId="20">#REF!</definedName>
    <definedName name="diag">#REF!</definedName>
    <definedName name="DipAngle" localSheetId="22">#REF!</definedName>
    <definedName name="DipAngle" localSheetId="19">#REF!</definedName>
    <definedName name="DipAngle" localSheetId="20">#REF!</definedName>
    <definedName name="DipAngle">#REF!</definedName>
    <definedName name="DLS_Column" localSheetId="22">#REF!</definedName>
    <definedName name="DLS_Column" localSheetId="20">#REF!</definedName>
    <definedName name="DLS_Column">#REF!</definedName>
    <definedName name="DLS_CompMethod" localSheetId="22">#REF!</definedName>
    <definedName name="DLS_CompMethod">#REF!</definedName>
    <definedName name="DLS_Unit" localSheetId="22">#REF!</definedName>
    <definedName name="DLS_Unit">#REF!</definedName>
    <definedName name="dop" localSheetId="22">#REF!</definedName>
    <definedName name="dop">#REF!</definedName>
    <definedName name="DrillSiteOrWellPad" localSheetId="22">#REF!</definedName>
    <definedName name="DrillSiteOrWellPad">#REF!</definedName>
    <definedName name="EDIT" localSheetId="22">'[3]Cost est.'!#REF!</definedName>
    <definedName name="EDIT">'[3]Cost est.'!#REF!</definedName>
    <definedName name="Elevation" localSheetId="22">#REF!</definedName>
    <definedName name="Elevation" localSheetId="20">#REF!</definedName>
    <definedName name="Elevation">#REF!</definedName>
    <definedName name="ElevationReference" localSheetId="22">#REF!</definedName>
    <definedName name="ElevationReference" localSheetId="19">#REF!</definedName>
    <definedName name="ElevationReference" localSheetId="20">#REF!</definedName>
    <definedName name="ElevationReference">#REF!</definedName>
    <definedName name="ESP_MD" localSheetId="22">#REF!</definedName>
    <definedName name="ESP_MD" localSheetId="20">#REF!</definedName>
    <definedName name="ESP_MD">#REF!</definedName>
    <definedName name="EW_Column" localSheetId="22">#REF!</definedName>
    <definedName name="EW_Column">#REF!</definedName>
    <definedName name="EW_Unit" localSheetId="22">#REF!</definedName>
    <definedName name="EW_Unit">#REF!</definedName>
    <definedName name="Expected_End" localSheetId="22">#REF!</definedName>
    <definedName name="Expected_End">#REF!</definedName>
    <definedName name="f" localSheetId="22">NULL</definedName>
    <definedName name="f" localSheetId="19">NULL</definedName>
    <definedName name="f" localSheetId="20">NULL</definedName>
    <definedName name="f">NULL</definedName>
    <definedName name="FieldName" localSheetId="22">#REF!</definedName>
    <definedName name="FieldName" localSheetId="19">#REF!</definedName>
    <definedName name="FieldName" localSheetId="20">#REF!</definedName>
    <definedName name="FieldName">#REF!</definedName>
    <definedName name="FieldStrength" localSheetId="22">#REF!</definedName>
    <definedName name="FieldStrength" localSheetId="19">#REF!</definedName>
    <definedName name="FieldStrength" localSheetId="20">#REF!</definedName>
    <definedName name="FieldStrength">#REF!</definedName>
    <definedName name="GeodeticLocation" localSheetId="22">#REF!</definedName>
    <definedName name="GeodeticLocation" localSheetId="20">#REF!</definedName>
    <definedName name="GeodeticLocation">#REF!</definedName>
    <definedName name="golevoe1" localSheetId="15">#REF!</definedName>
    <definedName name="golevoe1" localSheetId="22">#REF!</definedName>
    <definedName name="golevoe1" localSheetId="36">#REF!</definedName>
    <definedName name="golevoe1" localSheetId="38">#REF!</definedName>
    <definedName name="golevoe1" localSheetId="14">#REF!</definedName>
    <definedName name="golevoe1" localSheetId="30">#REF!</definedName>
    <definedName name="golevoe1" localSheetId="32">#REF!</definedName>
    <definedName name="golevoe1" localSheetId="19">#REF!</definedName>
    <definedName name="golevoe1" localSheetId="18">#REF!</definedName>
    <definedName name="golevoe1" localSheetId="16">#REF!</definedName>
    <definedName name="golevoe1" localSheetId="20">#REF!</definedName>
    <definedName name="golevoe1" localSheetId="21">#REF!</definedName>
    <definedName name="golevoe1" localSheetId="37">#REF!</definedName>
    <definedName name="golevoe1" localSheetId="0">#REF!</definedName>
    <definedName name="golevoe1" localSheetId="17">#REF!</definedName>
    <definedName name="golevoe1">#REF!</definedName>
    <definedName name="golevoekust1" localSheetId="15">[4]бурение!#REF!</definedName>
    <definedName name="golevoekust1" localSheetId="22">[4]бурение!#REF!</definedName>
    <definedName name="golevoekust1" localSheetId="36">[5]бурение!#REF!</definedName>
    <definedName name="golevoekust1" localSheetId="38">[4]бурение!#REF!</definedName>
    <definedName name="golevoekust1" localSheetId="14">[4]бурение!#REF!</definedName>
    <definedName name="golevoekust1" localSheetId="30">[5]бурение!#REF!</definedName>
    <definedName name="golevoekust1" localSheetId="19">[4]бурение!#REF!</definedName>
    <definedName name="golevoekust1" localSheetId="18">[4]бурение!#REF!</definedName>
    <definedName name="golevoekust1" localSheetId="16">[4]бурение!#REF!</definedName>
    <definedName name="golevoekust1" localSheetId="20">[4]бурение!#REF!</definedName>
    <definedName name="golevoekust1" localSheetId="21">[4]бурение!#REF!</definedName>
    <definedName name="golevoekust1" localSheetId="0">[4]бурение!#REF!</definedName>
    <definedName name="golevoekust1" localSheetId="17">[4]бурение!#REF!</definedName>
    <definedName name="golevoekust1">[4]бурение!#REF!</definedName>
    <definedName name="golevoekust5" localSheetId="15">#REF!</definedName>
    <definedName name="golevoekust5" localSheetId="22">#REF!</definedName>
    <definedName name="golevoekust5" localSheetId="36">#REF!</definedName>
    <definedName name="golevoekust5" localSheetId="38">#REF!</definedName>
    <definedName name="golevoekust5" localSheetId="14">#REF!</definedName>
    <definedName name="golevoekust5" localSheetId="30">#REF!</definedName>
    <definedName name="golevoekust5" localSheetId="32">#REF!</definedName>
    <definedName name="golevoekust5" localSheetId="19">#REF!</definedName>
    <definedName name="golevoekust5" localSheetId="18">#REF!</definedName>
    <definedName name="golevoekust5" localSheetId="16">#REF!</definedName>
    <definedName name="golevoekust5" localSheetId="20">#REF!</definedName>
    <definedName name="golevoekust5" localSheetId="21">#REF!</definedName>
    <definedName name="golevoekust5" localSheetId="37">#REF!</definedName>
    <definedName name="golevoekust5" localSheetId="0">#REF!</definedName>
    <definedName name="golevoekust5" localSheetId="17">#REF!</definedName>
    <definedName name="golevoekust5">#REF!</definedName>
    <definedName name="gr" localSheetId="22">#REF!</definedName>
    <definedName name="gr" localSheetId="20">#REF!</definedName>
    <definedName name="gr">#REF!</definedName>
    <definedName name="GridConvergence" localSheetId="22">#REF!</definedName>
    <definedName name="GridConvergence">#REF!</definedName>
    <definedName name="GridLocation" localSheetId="22">#REF!</definedName>
    <definedName name="GridLocation">#REF!</definedName>
    <definedName name="GroundLevelElevation" localSheetId="22">#REF!</definedName>
    <definedName name="GroundLevelElevation">#REF!</definedName>
    <definedName name="Help.ToggleHelpText">#N/A</definedName>
    <definedName name="HelpAgain.ToggleHelpText">#N/A</definedName>
    <definedName name="iiittooggoo" localSheetId="15">#REF!</definedName>
    <definedName name="iiittooggoo" localSheetId="22">#REF!</definedName>
    <definedName name="iiittooggoo" localSheetId="38">#REF!</definedName>
    <definedName name="iiittooggoo" localSheetId="14">#REF!</definedName>
    <definedName name="iiittooggoo" localSheetId="30">#REF!</definedName>
    <definedName name="iiittooggoo" localSheetId="19">#REF!</definedName>
    <definedName name="iiittooggoo" localSheetId="18">#REF!</definedName>
    <definedName name="iiittooggoo" localSheetId="16">#REF!</definedName>
    <definedName name="iiittooggoo" localSheetId="20">#REF!</definedName>
    <definedName name="iiittooggoo" localSheetId="21">#REF!</definedName>
    <definedName name="iiittooggoo" localSheetId="0">#REF!</definedName>
    <definedName name="iiittooggoo" localSheetId="17">#REF!</definedName>
    <definedName name="iiittooggoo">#REF!</definedName>
    <definedName name="InclColumn" localSheetId="22">#REF!</definedName>
    <definedName name="InclColumn" localSheetId="20">#REF!</definedName>
    <definedName name="InclColumn">#REF!</definedName>
    <definedName name="InclUnit" localSheetId="22">#REF!</definedName>
    <definedName name="InclUnit">#REF!</definedName>
    <definedName name="itoggggo" localSheetId="15">[4]бурение!#REF!</definedName>
    <definedName name="itoggggo" localSheetId="22">[4]бурение!#REF!</definedName>
    <definedName name="itoggggo" localSheetId="36">[5]бурение!#REF!</definedName>
    <definedName name="itoggggo" localSheetId="38">[4]бурение!#REF!</definedName>
    <definedName name="itoggggo" localSheetId="14">[4]бурение!#REF!</definedName>
    <definedName name="itoggggo" localSheetId="30">[5]бурение!#REF!</definedName>
    <definedName name="itoggggo" localSheetId="19">[4]бурение!#REF!</definedName>
    <definedName name="itoggggo" localSheetId="18">[4]бурение!#REF!</definedName>
    <definedName name="itoggggo" localSheetId="16">[4]бурение!#REF!</definedName>
    <definedName name="itoggggo" localSheetId="20">[4]бурение!#REF!</definedName>
    <definedName name="itoggggo" localSheetId="21">[4]бурение!#REF!</definedName>
    <definedName name="itoggggo" localSheetId="0">[4]бурение!#REF!</definedName>
    <definedName name="itoggggo" localSheetId="17">[4]бурение!#REF!</definedName>
    <definedName name="itoggggo">[4]бурение!#REF!</definedName>
    <definedName name="itogggooooooo" localSheetId="15">[4]бурение!#REF!</definedName>
    <definedName name="itogggooooooo" localSheetId="22">[4]бурение!#REF!</definedName>
    <definedName name="itogggooooooo" localSheetId="36">[5]бурение!#REF!</definedName>
    <definedName name="itogggooooooo" localSheetId="38">[4]бурение!#REF!</definedName>
    <definedName name="itogggooooooo" localSheetId="14">[4]бурение!#REF!</definedName>
    <definedName name="itogggooooooo" localSheetId="30">[5]бурение!#REF!</definedName>
    <definedName name="itogggooooooo" localSheetId="19">[4]бурение!#REF!</definedName>
    <definedName name="itogggooooooo" localSheetId="18">[4]бурение!#REF!</definedName>
    <definedName name="itogggooooooo" localSheetId="16">[4]бурение!#REF!</definedName>
    <definedName name="itogggooooooo" localSheetId="20">[4]бурение!#REF!</definedName>
    <definedName name="itogggooooooo" localSheetId="21">[4]бурение!#REF!</definedName>
    <definedName name="itogggooooooo" localSheetId="0">[4]бурение!#REF!</definedName>
    <definedName name="itogggooooooo" localSheetId="17">[4]бурение!#REF!</definedName>
    <definedName name="itogggooooooo">[4]бурение!#REF!</definedName>
    <definedName name="ITOGO" localSheetId="15">#REF!</definedName>
    <definedName name="ITOGO" localSheetId="22">#REF!</definedName>
    <definedName name="ITOGO" localSheetId="36">#REF!</definedName>
    <definedName name="ITOGO" localSheetId="38">#REF!</definedName>
    <definedName name="ITOGO" localSheetId="14">#REF!</definedName>
    <definedName name="ITOGO" localSheetId="30">#REF!</definedName>
    <definedName name="ITOGO" localSheetId="19">#REF!</definedName>
    <definedName name="ITOGO" localSheetId="18">#REF!</definedName>
    <definedName name="ITOGO" localSheetId="16">#REF!</definedName>
    <definedName name="ITOGO" localSheetId="20">#REF!</definedName>
    <definedName name="ITOGO" localSheetId="21">#REF!</definedName>
    <definedName name="ITOGO" localSheetId="0">#REF!</definedName>
    <definedName name="ITOGO" localSheetId="17">#REF!</definedName>
    <definedName name="ITOGO">#REF!</definedName>
    <definedName name="LC_CAP" localSheetId="22">#REF!</definedName>
    <definedName name="LC_CAP" localSheetId="20">#REF!</definedName>
    <definedName name="LC_CAP">#REF!</definedName>
    <definedName name="LCL" localSheetId="22">#REF!</definedName>
    <definedName name="LCL">#REF!</definedName>
    <definedName name="ListType" localSheetId="22">#REF!</definedName>
    <definedName name="ListType">#REF!</definedName>
    <definedName name="LTL" localSheetId="22">#REF!</definedName>
    <definedName name="LTL">#REF!</definedName>
    <definedName name="Macro1">#N/A</definedName>
    <definedName name="Macro10">#N/A</definedName>
    <definedName name="Macro11">#N/A</definedName>
    <definedName name="Macro2">#N/A</definedName>
    <definedName name="Macro20">#N/A</definedName>
    <definedName name="Macro21">#N/A</definedName>
    <definedName name="Macro22">#N/A</definedName>
    <definedName name="Macro23">#N/A</definedName>
    <definedName name="Macro25">#N/A</definedName>
    <definedName name="Macro28">#N/A</definedName>
    <definedName name="Macro29">#N/A</definedName>
    <definedName name="Macro3">#N/A</definedName>
    <definedName name="Macro30">#N/A</definedName>
    <definedName name="Macro4">#N/A</definedName>
    <definedName name="Macro5">#N/A</definedName>
    <definedName name="Macro7">#N/A</definedName>
    <definedName name="Macro8">#N/A</definedName>
    <definedName name="Macro9">#N/A</definedName>
    <definedName name="MagneticDeclDate" localSheetId="22">#REF!</definedName>
    <definedName name="MagneticDeclDate" localSheetId="20">#REF!</definedName>
    <definedName name="MagneticDeclDate">#REF!</definedName>
    <definedName name="MagneticDeclination" localSheetId="22">#REF!</definedName>
    <definedName name="MagneticDeclination" localSheetId="19">#REF!</definedName>
    <definedName name="MagneticDeclination" localSheetId="20">#REF!</definedName>
    <definedName name="MagneticDeclination">#REF!</definedName>
    <definedName name="MagneticDeclModel" localSheetId="22">#REF!</definedName>
    <definedName name="MagneticDeclModel" localSheetId="20">#REF!</definedName>
    <definedName name="MagneticDeclModel">#REF!</definedName>
    <definedName name="MAIN" localSheetId="22">'[3]Cost est.'!#REF!</definedName>
    <definedName name="MAIN" localSheetId="20">'[3]Cost est.'!#REF!</definedName>
    <definedName name="MAIN">'[3]Cost est.'!#REF!</definedName>
    <definedName name="MD_Column" localSheetId="22">#REF!</definedName>
    <definedName name="MD_Column" localSheetId="20">#REF!</definedName>
    <definedName name="MD_Column">#REF!</definedName>
    <definedName name="MD_Unit" localSheetId="22">#REF!</definedName>
    <definedName name="MD_Unit" localSheetId="19">#REF!</definedName>
    <definedName name="MD_Unit" localSheetId="20">#REF!</definedName>
    <definedName name="MD_Unit">#REF!</definedName>
    <definedName name="MID_PERF_MD" localSheetId="22">#REF!</definedName>
    <definedName name="MID_PERF_MD" localSheetId="20">#REF!</definedName>
    <definedName name="MID_PERF_MD">#REF!</definedName>
    <definedName name="Module1.Macro1">#N/A</definedName>
    <definedName name="Module1.Macro2">#N/A</definedName>
    <definedName name="Module1.Macro3">#N/A</definedName>
    <definedName name="Module1.Macro4">#N/A</definedName>
    <definedName name="Module1.Macro5">#N/A</definedName>
    <definedName name="Module1.Macro6">#N/A</definedName>
    <definedName name="Mohctik" localSheetId="15">#REF!</definedName>
    <definedName name="Mohctik" localSheetId="22">#REF!</definedName>
    <definedName name="Mohctik" localSheetId="36">#REF!</definedName>
    <definedName name="Mohctik" localSheetId="38">#REF!</definedName>
    <definedName name="Mohctik" localSheetId="14">#REF!</definedName>
    <definedName name="Mohctik" localSheetId="30">#REF!</definedName>
    <definedName name="Mohctik" localSheetId="19">#REF!</definedName>
    <definedName name="Mohctik" localSheetId="18">#REF!</definedName>
    <definedName name="Mohctik" localSheetId="16">#REF!</definedName>
    <definedName name="Mohctik" localSheetId="20">#REF!</definedName>
    <definedName name="Mohctik" localSheetId="21">#REF!</definedName>
    <definedName name="Mohctik" localSheetId="0">#REF!</definedName>
    <definedName name="Mohctik" localSheetId="17">#REF!</definedName>
    <definedName name="Mohctik">#REF!</definedName>
    <definedName name="mohctik1bis" localSheetId="15">#REF!</definedName>
    <definedName name="mohctik1bis" localSheetId="22">#REF!</definedName>
    <definedName name="mohctik1bis" localSheetId="36">#REF!</definedName>
    <definedName name="mohctik1bis" localSheetId="38">#REF!</definedName>
    <definedName name="mohctik1bis" localSheetId="14">#REF!</definedName>
    <definedName name="mohctik1bis" localSheetId="30">#REF!</definedName>
    <definedName name="mohctik1bis" localSheetId="32">#REF!</definedName>
    <definedName name="mohctik1bis" localSheetId="19">#REF!</definedName>
    <definedName name="mohctik1bis" localSheetId="18">#REF!</definedName>
    <definedName name="mohctik1bis" localSheetId="16">#REF!</definedName>
    <definedName name="mohctik1bis" localSheetId="20">#REF!</definedName>
    <definedName name="mohctik1bis" localSheetId="21">#REF!</definedName>
    <definedName name="mohctik1bis" localSheetId="37">#REF!</definedName>
    <definedName name="mohctik1bis" localSheetId="0">#REF!</definedName>
    <definedName name="mohctik1bis" localSheetId="17">#REF!</definedName>
    <definedName name="mohctik1bis">#REF!</definedName>
    <definedName name="myconstant" localSheetId="22">#REF!</definedName>
    <definedName name="myconstant">#REF!</definedName>
    <definedName name="N_Shapsha11" localSheetId="15">#REF!</definedName>
    <definedName name="N_Shapsha11" localSheetId="22">#REF!</definedName>
    <definedName name="N_Shapsha11" localSheetId="36">#REF!</definedName>
    <definedName name="N_Shapsha11" localSheetId="38">#REF!</definedName>
    <definedName name="N_Shapsha11" localSheetId="14">#REF!</definedName>
    <definedName name="N_Shapsha11" localSheetId="30">#REF!</definedName>
    <definedName name="N_Shapsha11" localSheetId="19">#REF!</definedName>
    <definedName name="N_Shapsha11" localSheetId="18">#REF!</definedName>
    <definedName name="N_Shapsha11" localSheetId="16">#REF!</definedName>
    <definedName name="N_Shapsha11" localSheetId="20">#REF!</definedName>
    <definedName name="N_Shapsha11" localSheetId="21">#REF!</definedName>
    <definedName name="N_Shapsha11" localSheetId="0">#REF!</definedName>
    <definedName name="N_Shapsha11" localSheetId="17">#REF!</definedName>
    <definedName name="N_Shapsha11">#REF!</definedName>
    <definedName name="NEWBefore_ProdRate_M3" localSheetId="22">#REF!</definedName>
    <definedName name="NEWBefore_ProdRate_M3">#REF!</definedName>
    <definedName name="NEWCasing_ID" localSheetId="22">#REF!</definedName>
    <definedName name="NEWCasing_ID">#REF!</definedName>
    <definedName name="NEWPBTD" localSheetId="22">#REF!</definedName>
    <definedName name="NEWPBTD">#REF!</definedName>
    <definedName name="NEWSBHP" localSheetId="22">#REF!</definedName>
    <definedName name="NEWSBHP">#REF!</definedName>
    <definedName name="NorthReference" localSheetId="22">#REF!</definedName>
    <definedName name="NorthReference">#REF!</definedName>
    <definedName name="NPT1a" localSheetId="22">#REF!</definedName>
    <definedName name="NPT1a">#REF!</definedName>
    <definedName name="NPT1b" localSheetId="22">#REF!</definedName>
    <definedName name="NPT1b">#REF!</definedName>
    <definedName name="NPT2a" localSheetId="22">#REF!</definedName>
    <definedName name="NPT2a">#REF!</definedName>
    <definedName name="NPT2b" localSheetId="22">#REF!</definedName>
    <definedName name="NPT2b">#REF!</definedName>
    <definedName name="NPT2c" localSheetId="22">#REF!</definedName>
    <definedName name="NPT2c">#REF!</definedName>
    <definedName name="NPT2d" localSheetId="22">#REF!</definedName>
    <definedName name="NPT2d">#REF!</definedName>
    <definedName name="NPT3a" localSheetId="22">#REF!</definedName>
    <definedName name="NPT3a">#REF!</definedName>
    <definedName name="NPT3b" localSheetId="22">#REF!</definedName>
    <definedName name="NPT3b">#REF!</definedName>
    <definedName name="NPT4a" localSheetId="22">#REF!</definedName>
    <definedName name="NPT4a">#REF!</definedName>
    <definedName name="NPT4b" localSheetId="22">#REF!</definedName>
    <definedName name="NPT4b">#REF!</definedName>
    <definedName name="NPT4c" localSheetId="22">#REF!</definedName>
    <definedName name="NPT4c">#REF!</definedName>
    <definedName name="NPT5a" localSheetId="22">#REF!</definedName>
    <definedName name="NPT5a">#REF!</definedName>
    <definedName name="NPT5b" localSheetId="22">#REF!</definedName>
    <definedName name="NPT5b">#REF!</definedName>
    <definedName name="NPT5c" localSheetId="22">#REF!</definedName>
    <definedName name="NPT5c">#REF!</definedName>
    <definedName name="NS_Column" localSheetId="22">#REF!</definedName>
    <definedName name="NS_Column">#REF!</definedName>
    <definedName name="NS_Unit" localSheetId="22">#REF!</definedName>
    <definedName name="NS_Unit">#REF!</definedName>
    <definedName name="OLD_ART_TD" localSheetId="22">#REF!</definedName>
    <definedName name="OLD_ART_TD">#REF!</definedName>
    <definedName name="OLD_PUMP_DEPTH" localSheetId="22">#REF!</definedName>
    <definedName name="OLD_PUMP_DEPTH">#REF!</definedName>
    <definedName name="otx">'[2]Инклин Факт'!$C$8</definedName>
    <definedName name="PBTD" localSheetId="22">#REF!</definedName>
    <definedName name="PBTD" localSheetId="20">#REF!</definedName>
    <definedName name="PBTD">#REF!</definedName>
    <definedName name="perf_MD" localSheetId="22">#REF!</definedName>
    <definedName name="perf_MD" localSheetId="19">#REF!</definedName>
    <definedName name="perf_MD" localSheetId="20">#REF!</definedName>
    <definedName name="perf_MD">#REF!</definedName>
    <definedName name="perf_TVD" localSheetId="22">#REF!</definedName>
    <definedName name="perf_TVD" localSheetId="20">#REF!</definedName>
    <definedName name="perf_TVD">#REF!</definedName>
    <definedName name="Planned_End" localSheetId="22">#REF!</definedName>
    <definedName name="Planned_End">#REF!</definedName>
    <definedName name="PRINT" localSheetId="22">'[3]Cost est.'!#REF!</definedName>
    <definedName name="PRINT">'[3]Cost est.'!#REF!</definedName>
    <definedName name="PrintArea" localSheetId="22">#REF!</definedName>
    <definedName name="PrintArea" localSheetId="20">#REF!</definedName>
    <definedName name="PrintArea">#REF!</definedName>
    <definedName name="PT1a" localSheetId="22">#REF!</definedName>
    <definedName name="PT1a" localSheetId="19">#REF!</definedName>
    <definedName name="PT1a" localSheetId="20">#REF!</definedName>
    <definedName name="PT1a">#REF!</definedName>
    <definedName name="PT1b" localSheetId="22">#REF!</definedName>
    <definedName name="PT1b" localSheetId="20">#REF!</definedName>
    <definedName name="PT1b">#REF!</definedName>
    <definedName name="PT2a" localSheetId="22">#REF!</definedName>
    <definedName name="PT2a">#REF!</definedName>
    <definedName name="PT2b" localSheetId="22">#REF!</definedName>
    <definedName name="PT2b">#REF!</definedName>
    <definedName name="PT2c" localSheetId="22">#REF!</definedName>
    <definedName name="PT2c">#REF!</definedName>
    <definedName name="PT2d" localSheetId="22">#REF!</definedName>
    <definedName name="PT2d">#REF!</definedName>
    <definedName name="PT3a" localSheetId="22">#REF!</definedName>
    <definedName name="PT3a">#REF!</definedName>
    <definedName name="PT3b" localSheetId="22">#REF!</definedName>
    <definedName name="PT3b">#REF!</definedName>
    <definedName name="PT4a" localSheetId="22">#REF!</definedName>
    <definedName name="PT4a">#REF!</definedName>
    <definedName name="PT4b" localSheetId="22">#REF!</definedName>
    <definedName name="PT4b">#REF!</definedName>
    <definedName name="PT4c" localSheetId="22">#REF!</definedName>
    <definedName name="PT4c">#REF!</definedName>
    <definedName name="PT5a" localSheetId="22">#REF!</definedName>
    <definedName name="PT5a">#REF!</definedName>
    <definedName name="PT5b" localSheetId="22">#REF!</definedName>
    <definedName name="PT5b">#REF!</definedName>
    <definedName name="PT5c" localSheetId="22">#REF!</definedName>
    <definedName name="PT5c">#REF!</definedName>
    <definedName name="Rdop">'[2]Инклин Факт'!$C$7</definedName>
    <definedName name="RDP" localSheetId="22">#REF!</definedName>
    <definedName name="RDP" localSheetId="20">#REF!</definedName>
    <definedName name="RDP">#REF!</definedName>
    <definedName name="Reached_TD" localSheetId="22">#REF!</definedName>
    <definedName name="Reached_TD" localSheetId="19">#REF!</definedName>
    <definedName name="Reached_TD" localSheetId="20">#REF!</definedName>
    <definedName name="Reached_TD">#REF!</definedName>
    <definedName name="ReportTitle" localSheetId="22">#REF!</definedName>
    <definedName name="ReportTitle" localSheetId="20">#REF!</definedName>
    <definedName name="ReportTitle">#REF!</definedName>
    <definedName name="Rig" localSheetId="22">#REF!</definedName>
    <definedName name="Rig">#REF!</definedName>
    <definedName name="Rig_released" localSheetId="22">#REF!</definedName>
    <definedName name="Rig_released">#REF!</definedName>
    <definedName name="SBHP" localSheetId="22">#REF!</definedName>
    <definedName name="SBHP">#REF!</definedName>
    <definedName name="ScaleFactor" localSheetId="22">#REF!</definedName>
    <definedName name="ScaleFactor">#REF!</definedName>
    <definedName name="Select6">#N/A</definedName>
    <definedName name="Slick1">#N/A</definedName>
    <definedName name="Slick2">#N/A</definedName>
    <definedName name="Slick3">#N/A</definedName>
    <definedName name="Spud_in" localSheetId="22">#REF!</definedName>
    <definedName name="Spud_in" localSheetId="20">#REF!</definedName>
    <definedName name="Spud_in">#REF!</definedName>
    <definedName name="SsbSeaTVD_Column" localSheetId="22">NULL</definedName>
    <definedName name="SsbSeaTVD_Column" localSheetId="19">NULL</definedName>
    <definedName name="SsbSeaTVD_Column" localSheetId="20">NULL</definedName>
    <definedName name="SsbSeaTVD_Column">NULL</definedName>
    <definedName name="SsbSeaTVD_Unit" localSheetId="22">NULL</definedName>
    <definedName name="SsbSeaTVD_Unit" localSheetId="19">NULL</definedName>
    <definedName name="SsbSeaTVD_Unit" localSheetId="20">NULL</definedName>
    <definedName name="SsbSeaTVD_Unit">NULL</definedName>
    <definedName name="SSBSEATVDCOLUMN" localSheetId="22">NULL</definedName>
    <definedName name="SSBSEATVDCOLUMN" localSheetId="19">NULL</definedName>
    <definedName name="SSBSEATVDCOLUMN" localSheetId="20">NULL</definedName>
    <definedName name="SSBSEATVDCOLUMN">NULL</definedName>
    <definedName name="SSBSEATVDUNIT" localSheetId="22">NULL</definedName>
    <definedName name="SSBSEATVDUNIT" localSheetId="19">NULL</definedName>
    <definedName name="SSBSEATVDUNIT" localSheetId="20">NULL</definedName>
    <definedName name="SSBSEATVDUNIT">NULL</definedName>
    <definedName name="ssss" localSheetId="22">#REF!</definedName>
    <definedName name="ssss" localSheetId="19">#REF!</definedName>
    <definedName name="ssss" localSheetId="20">#REF!</definedName>
    <definedName name="ssss">#REF!</definedName>
    <definedName name="Start_move" localSheetId="22">#REF!</definedName>
    <definedName name="Start_move" localSheetId="19">#REF!</definedName>
    <definedName name="Start_move" localSheetId="20">#REF!</definedName>
    <definedName name="Start_move">#REF!</definedName>
    <definedName name="SubSeaTVD_Column" localSheetId="22">NULL</definedName>
    <definedName name="SubSeaTVD_Column" localSheetId="19">NULL</definedName>
    <definedName name="SubSeaTVD_Column" localSheetId="20">NULL</definedName>
    <definedName name="SubSeaTVD_Column">NULL</definedName>
    <definedName name="SubSeaTVD_Unit" localSheetId="22">NULL</definedName>
    <definedName name="SubSeaTVD_Unit" localSheetId="19">NULL</definedName>
    <definedName name="SubSeaTVD_Unit" localSheetId="20">NULL</definedName>
    <definedName name="SubSeaTVD_Unit">NULL</definedName>
    <definedName name="SUBSEATVDCOLUMN" localSheetId="22">NULL</definedName>
    <definedName name="SUBSEATVDCOLUMN" localSheetId="19">NULL</definedName>
    <definedName name="SUBSEATVDCOLUMN" localSheetId="20">NULL</definedName>
    <definedName name="SUBSEATVDCOLUMN">NULL</definedName>
    <definedName name="SUBSEATVDUNIT" localSheetId="22">NULL</definedName>
    <definedName name="SUBSEATVDUNIT" localSheetId="19">NULL</definedName>
    <definedName name="SUBSEATVDUNIT" localSheetId="20">NULL</definedName>
    <definedName name="SUBSEATVDUNIT">NULL</definedName>
    <definedName name="Surface" localSheetId="22">#REF!</definedName>
    <definedName name="Surface" localSheetId="19">#REF!</definedName>
    <definedName name="Surface" localSheetId="20">#REF!</definedName>
    <definedName name="Surface">#REF!</definedName>
    <definedName name="SurveyCompMethod" localSheetId="22">#REF!</definedName>
    <definedName name="SurveyCompMethod" localSheetId="19">#REF!</definedName>
    <definedName name="SurveyCompMethod" localSheetId="20">#REF!</definedName>
    <definedName name="SurveyCompMethod">#REF!</definedName>
    <definedName name="SurveyDate" localSheetId="22">#REF!</definedName>
    <definedName name="SurveyDate" localSheetId="20">#REF!</definedName>
    <definedName name="SurveyDate">#REF!</definedName>
    <definedName name="SurveyProgram" localSheetId="22">#REF!</definedName>
    <definedName name="SurveyProgram">#REF!</definedName>
    <definedName name="SurveyStats" localSheetId="22">#REF!</definedName>
    <definedName name="SurveyStats">#REF!</definedName>
    <definedName name="SvyDLSCompMethod" localSheetId="22">#REF!</definedName>
    <definedName name="SvyDLSCompMethod">#REF!</definedName>
    <definedName name="Text">#N/A</definedName>
    <definedName name="TF_Column" localSheetId="22">#REF!</definedName>
    <definedName name="TF_Column" localSheetId="20">#REF!</definedName>
    <definedName name="TF_Column">#REF!</definedName>
    <definedName name="TF_Unit" localSheetId="22">#REF!</definedName>
    <definedName name="TF_Unit" localSheetId="19">#REF!</definedName>
    <definedName name="TF_Unit" localSheetId="20">#REF!</definedName>
    <definedName name="TF_Unit">#REF!</definedName>
    <definedName name="ToggleHelpText">#N/A</definedName>
    <definedName name="ToolsM.CasedHole">#N/A</definedName>
    <definedName name="ToolsM.Tubing">#N/A</definedName>
    <definedName name="TotalCorrection" localSheetId="22">#REF!</definedName>
    <definedName name="TotalCorrection" localSheetId="20">#REF!</definedName>
    <definedName name="TotalCorrection">#REF!</definedName>
    <definedName name="TotalCorrectionLbl" localSheetId="22">#REF!</definedName>
    <definedName name="TotalCorrectionLbl" localSheetId="19">#REF!</definedName>
    <definedName name="TotalCorrectionLbl" localSheetId="20">#REF!</definedName>
    <definedName name="TotalCorrectionLbl">#REF!</definedName>
    <definedName name="TP_Column" localSheetId="22">NULL</definedName>
    <definedName name="TP_Column" localSheetId="19">NULL</definedName>
    <definedName name="TP_Column" localSheetId="20">NULL</definedName>
    <definedName name="TP_Column">NULL</definedName>
    <definedName name="TP_Unit" localSheetId="22">NULL</definedName>
    <definedName name="TP_Unit" localSheetId="19">NULL</definedName>
    <definedName name="TP_Unit" localSheetId="20">NULL</definedName>
    <definedName name="TP_Unit">NULL</definedName>
    <definedName name="TPCOLUMN" localSheetId="22">NULL</definedName>
    <definedName name="TPCOLUMN" localSheetId="19">NULL</definedName>
    <definedName name="TPCOLUMN" localSheetId="20">NULL</definedName>
    <definedName name="TPCOLUMN">NULL</definedName>
    <definedName name="TPUNIT" localSheetId="22">NULL</definedName>
    <definedName name="TPUNIT" localSheetId="19">NULL</definedName>
    <definedName name="TPUNIT" localSheetId="20">NULL</definedName>
    <definedName name="TPUNIT">NULL</definedName>
    <definedName name="TR_Column" localSheetId="22">NULL</definedName>
    <definedName name="TR_Column" localSheetId="19">NULL</definedName>
    <definedName name="TR_Column" localSheetId="20">NULL</definedName>
    <definedName name="TR_Column">NULL</definedName>
    <definedName name="TR_Unit" localSheetId="22">NULL</definedName>
    <definedName name="TR_Unit" localSheetId="19">NULL</definedName>
    <definedName name="TR_Unit" localSheetId="20">NULL</definedName>
    <definedName name="TR_Unit">NULL</definedName>
    <definedName name="TRCOLUMN" localSheetId="22">NULL</definedName>
    <definedName name="TRCOLUMN" localSheetId="19">NULL</definedName>
    <definedName name="TRCOLUMN" localSheetId="20">NULL</definedName>
    <definedName name="TRCOLUMN">NULL</definedName>
    <definedName name="TRUNIT" localSheetId="22">NULL</definedName>
    <definedName name="TRUNIT" localSheetId="19">NULL</definedName>
    <definedName name="TRUNIT" localSheetId="20">NULL</definedName>
    <definedName name="TRUNIT">NULL</definedName>
    <definedName name="TT1a" localSheetId="22">#REF!</definedName>
    <definedName name="TT1a" localSheetId="19">#REF!</definedName>
    <definedName name="TT1a" localSheetId="20">#REF!</definedName>
    <definedName name="TT1a">#REF!</definedName>
    <definedName name="TT1b" localSheetId="22">#REF!</definedName>
    <definedName name="TT1b" localSheetId="19">#REF!</definedName>
    <definedName name="TT1b" localSheetId="20">#REF!</definedName>
    <definedName name="TT1b">#REF!</definedName>
    <definedName name="TT2a" localSheetId="22">#REF!</definedName>
    <definedName name="TT2a" localSheetId="20">#REF!</definedName>
    <definedName name="TT2a">#REF!</definedName>
    <definedName name="TT2b" localSheetId="22">#REF!</definedName>
    <definedName name="TT2b">#REF!</definedName>
    <definedName name="TT2c" localSheetId="22">#REF!</definedName>
    <definedName name="TT2c">#REF!</definedName>
    <definedName name="TT2d" localSheetId="22">#REF!</definedName>
    <definedName name="TT2d">#REF!</definedName>
    <definedName name="TT3a" localSheetId="22">#REF!</definedName>
    <definedName name="TT3a">#REF!</definedName>
    <definedName name="TT3b" localSheetId="22">#REF!</definedName>
    <definedName name="TT3b">#REF!</definedName>
    <definedName name="TT4a" localSheetId="22">#REF!</definedName>
    <definedName name="TT4a">#REF!</definedName>
    <definedName name="TT4b" localSheetId="22">#REF!</definedName>
    <definedName name="TT4b">#REF!</definedName>
    <definedName name="TT4c" localSheetId="22">#REF!</definedName>
    <definedName name="TT4c">#REF!</definedName>
    <definedName name="TT5a" localSheetId="22">#REF!</definedName>
    <definedName name="TT5a">#REF!</definedName>
    <definedName name="TT5b" localSheetId="22">#REF!</definedName>
    <definedName name="TT5b">#REF!</definedName>
    <definedName name="TT5c" localSheetId="22">#REF!</definedName>
    <definedName name="TT5c">#REF!</definedName>
    <definedName name="tubing_ID" localSheetId="22">#REF!</definedName>
    <definedName name="tubing_ID">#REF!</definedName>
    <definedName name="tubing_OD" localSheetId="22">#REF!</definedName>
    <definedName name="tubing_OD">#REF!</definedName>
    <definedName name="TVD_Column" localSheetId="22">#REF!</definedName>
    <definedName name="TVD_Column">#REF!</definedName>
    <definedName name="TVD_Reference" localSheetId="22">#REF!</definedName>
    <definedName name="TVD_Reference">#REF!</definedName>
    <definedName name="TVD_ReferenceValue" localSheetId="22">#REF!</definedName>
    <definedName name="TVD_ReferenceValue">#REF!</definedName>
    <definedName name="TVD_Unit" localSheetId="22">#REF!</definedName>
    <definedName name="TVD_Unit">#REF!</definedName>
    <definedName name="UC_CAP" localSheetId="22">#REF!</definedName>
    <definedName name="UC_CAP">#REF!</definedName>
    <definedName name="UCL" localSheetId="22">#REF!</definedName>
    <definedName name="UCL">#REF!</definedName>
    <definedName name="UTL" localSheetId="22">#REF!</definedName>
    <definedName name="UTL">#REF!</definedName>
    <definedName name="Ver_Shapsha2" localSheetId="15">#REF!</definedName>
    <definedName name="Ver_Shapsha2" localSheetId="22">#REF!</definedName>
    <definedName name="Ver_Shapsha2" localSheetId="38">#REF!</definedName>
    <definedName name="Ver_Shapsha2" localSheetId="14">#REF!</definedName>
    <definedName name="Ver_Shapsha2" localSheetId="30">#REF!</definedName>
    <definedName name="Ver_Shapsha2" localSheetId="19">#REF!</definedName>
    <definedName name="Ver_Shapsha2" localSheetId="18">#REF!</definedName>
    <definedName name="Ver_Shapsha2" localSheetId="16">#REF!</definedName>
    <definedName name="Ver_Shapsha2" localSheetId="20">#REF!</definedName>
    <definedName name="Ver_Shapsha2" localSheetId="21">#REF!</definedName>
    <definedName name="Ver_Shapsha2" localSheetId="0">#REF!</definedName>
    <definedName name="Ver_Shapsha2" localSheetId="17">#REF!</definedName>
    <definedName name="Ver_Shapsha2">#REF!</definedName>
    <definedName name="VFFVVVV" localSheetId="22">NULL</definedName>
    <definedName name="VFFVVVV" localSheetId="19">NULL</definedName>
    <definedName name="VFFVVVV" localSheetId="20">NULL</definedName>
    <definedName name="VFFVVVV">NULL</definedName>
    <definedName name="VSEC_Azim" localSheetId="22">#REF!</definedName>
    <definedName name="VSEC_Azim" localSheetId="19">#REF!</definedName>
    <definedName name="VSEC_Azim" localSheetId="20">#REF!</definedName>
    <definedName name="VSEC_Azim">#REF!</definedName>
    <definedName name="VSEC_Column" localSheetId="22">#REF!</definedName>
    <definedName name="VSEC_Column" localSheetId="19">#REF!</definedName>
    <definedName name="VSEC_Column" localSheetId="20">#REF!</definedName>
    <definedName name="VSEC_Column">#REF!</definedName>
    <definedName name="VSEC_Origin" localSheetId="22">#REF!</definedName>
    <definedName name="VSEC_Origin" localSheetId="20">#REF!</definedName>
    <definedName name="VSEC_Origin">#REF!</definedName>
    <definedName name="VSEC_Unit" localSheetId="22">#REF!</definedName>
    <definedName name="VSEC_Unit">#REF!</definedName>
    <definedName name="vsegooooo" localSheetId="15">#REF!</definedName>
    <definedName name="vsegooooo" localSheetId="22">#REF!</definedName>
    <definedName name="vsegooooo" localSheetId="38">#REF!</definedName>
    <definedName name="vsegooooo" localSheetId="14">#REF!</definedName>
    <definedName name="vsegooooo" localSheetId="30">#REF!</definedName>
    <definedName name="vsegooooo" localSheetId="19">#REF!</definedName>
    <definedName name="vsegooooo" localSheetId="18">#REF!</definedName>
    <definedName name="vsegooooo" localSheetId="16">#REF!</definedName>
    <definedName name="vsegooooo" localSheetId="20">#REF!</definedName>
    <definedName name="vsegooooo" localSheetId="21">#REF!</definedName>
    <definedName name="vsegooooo" localSheetId="0">#REF!</definedName>
    <definedName name="vsegooooo" localSheetId="17">#REF!</definedName>
    <definedName name="vsegooooo">#REF!</definedName>
    <definedName name="VVFVVVV" localSheetId="22">NULL</definedName>
    <definedName name="VVFVVVV" localSheetId="19">NULL</definedName>
    <definedName name="VVFVVVV" localSheetId="20">NULL</definedName>
    <definedName name="VVFVVVV">NULL</definedName>
    <definedName name="we" localSheetId="22">NULL</definedName>
    <definedName name="we" localSheetId="19">NULL</definedName>
    <definedName name="we" localSheetId="20">NULL</definedName>
    <definedName name="we">NULL</definedName>
    <definedName name="Well_Name" localSheetId="22">#REF!</definedName>
    <definedName name="Well_Name" localSheetId="19">#REF!</definedName>
    <definedName name="Well_Name" localSheetId="20">#REF!</definedName>
    <definedName name="Well_Name">#REF!</definedName>
    <definedName name="Well_TD" localSheetId="22">#REF!</definedName>
    <definedName name="Well_TD" localSheetId="19">#REF!</definedName>
    <definedName name="Well_TD" localSheetId="20">#REF!</definedName>
    <definedName name="Well_TD">#REF!</definedName>
    <definedName name="Well1">#N/A</definedName>
    <definedName name="Well10">#N/A</definedName>
    <definedName name="Well11">#N/A</definedName>
    <definedName name="Well12">#N/A</definedName>
    <definedName name="Well13">#N/A</definedName>
    <definedName name="Well14">#N/A</definedName>
    <definedName name="Well16">#N/A</definedName>
    <definedName name="Well17">#N/A</definedName>
    <definedName name="Well18">#N/A</definedName>
    <definedName name="Well2">#N/A</definedName>
    <definedName name="Well3">#N/A</definedName>
    <definedName name="Well4">#N/A</definedName>
    <definedName name="Well5">#N/A</definedName>
    <definedName name="Well6">#N/A</definedName>
    <definedName name="Well7">#N/A</definedName>
    <definedName name="Well8">#N/A</definedName>
    <definedName name="Well9">#N/A</definedName>
    <definedName name="WellName" localSheetId="22">#REF!</definedName>
    <definedName name="WellName" localSheetId="20">#REF!</definedName>
    <definedName name="WellName">#REF!</definedName>
    <definedName name="What" localSheetId="22">'[6]Kill Sheet'!#REF!</definedName>
    <definedName name="What" localSheetId="20">'[6]Kill Sheet'!#REF!</definedName>
    <definedName name="What">'[6]Kill Sheet'!#REF!</definedName>
    <definedName name="Whipstock">#N/A</definedName>
    <definedName name="wrn.Макет._.индивидуакльного._.строительства." localSheetId="36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localSheetId="38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localSheetId="30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localSheetId="32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localSheetId="19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localSheetId="18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localSheetId="20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localSheetId="37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localSheetId="0" hidden="1">{#N/A,#N/A,TRUE,"Содержание";#N/A,#N/A,TRUE,"ПРоектные данные";#N/A,#N/A,TRUE,"Интервалы продуктивных пластов"}</definedName>
    <definedName name="wrn.Макет._.индивидуакльного._.строительства." hidden="1">{#N/A,#N/A,TRUE,"Содержание";#N/A,#N/A,TRUE,"ПРоектные данные";#N/A,#N/A,TRUE,"Интервалы продуктивных пластов"}</definedName>
    <definedName name="а" localSheetId="22">[2]База!#REF!</definedName>
    <definedName name="а">[2]База!#REF!</definedName>
    <definedName name="аагнпроп" localSheetId="22">NULL</definedName>
    <definedName name="аагнпроп" localSheetId="19">NULL</definedName>
    <definedName name="аагнпроп" localSheetId="20">NULL</definedName>
    <definedName name="аагнпроп">NULL</definedName>
    <definedName name="Ард" localSheetId="22">#REF!</definedName>
    <definedName name="Ард" localSheetId="36">#REF!</definedName>
    <definedName name="Ард" localSheetId="38">#REF!</definedName>
    <definedName name="Ард" localSheetId="30">#REF!</definedName>
    <definedName name="Ард" localSheetId="19">#REF!</definedName>
    <definedName name="Ард" localSheetId="18">#REF!</definedName>
    <definedName name="Ард" localSheetId="20">#REF!</definedName>
    <definedName name="Ард">#REF!</definedName>
    <definedName name="Аэн" localSheetId="22">#REF!</definedName>
    <definedName name="Аэн" localSheetId="36">#REF!</definedName>
    <definedName name="Аэн" localSheetId="38">#REF!</definedName>
    <definedName name="Аэн" localSheetId="30">#REF!</definedName>
    <definedName name="Аэн" localSheetId="19">#REF!</definedName>
    <definedName name="Аэн" localSheetId="18">#REF!</definedName>
    <definedName name="Аэн" localSheetId="20">#REF!</definedName>
    <definedName name="Аэн">#REF!</definedName>
    <definedName name="б\у">[7]Start!$H$10:$H$11</definedName>
    <definedName name="_xlnm.Database" localSheetId="22">#REF!</definedName>
    <definedName name="_xlnm.Database" localSheetId="36">#REF!</definedName>
    <definedName name="_xlnm.Database" localSheetId="38">#REF!</definedName>
    <definedName name="_xlnm.Database" localSheetId="30">#REF!</definedName>
    <definedName name="_xlnm.Database" localSheetId="19">#REF!</definedName>
    <definedName name="_xlnm.Database" localSheetId="18">#REF!</definedName>
    <definedName name="_xlnm.Database" localSheetId="20">#REF!</definedName>
    <definedName name="_xlnm.Database">#REF!</definedName>
    <definedName name="Вварв" localSheetId="22">NULL</definedName>
    <definedName name="Вварв" localSheetId="19">NULL</definedName>
    <definedName name="Вварв" localSheetId="20">NULL</definedName>
    <definedName name="Вварв">NULL</definedName>
    <definedName name="Впарв" localSheetId="22">NULL</definedName>
    <definedName name="Впарв" localSheetId="19">NULL</definedName>
    <definedName name="Впарв" localSheetId="20">NULL</definedName>
    <definedName name="Впарв">NULL</definedName>
    <definedName name="жопа" localSheetId="22">NULL</definedName>
    <definedName name="жопа" localSheetId="19">NULL</definedName>
    <definedName name="жопа" localSheetId="20">NULL</definedName>
    <definedName name="жопа">NULL</definedName>
    <definedName name="_xlnm.Print_Titles" localSheetId="15">'№ 8.1  ННС 21'!$33:$36</definedName>
    <definedName name="_xlnm.Print_Titles" localSheetId="22">'№ 8.1 ГС 45'!$33:$36</definedName>
    <definedName name="_xlnm.Print_Titles" localSheetId="11">'№5.1Демонтаж БУ'!$13:$14</definedName>
    <definedName name="_xlnm.Print_Titles" localSheetId="39">'расчет шлама'!$10:$10</definedName>
    <definedName name="_xlnm.Print_Titles">#REF!</definedName>
    <definedName name="ИИИИИИИ" localSheetId="22">NULL</definedName>
    <definedName name="ИИИИИИИ" localSheetId="19">NULL</definedName>
    <definedName name="ИИИИИИИ" localSheetId="20">NULL</definedName>
    <definedName name="ИИИИИИИ">NULL</definedName>
    <definedName name="ИИИИИИТ" localSheetId="22">NULL</definedName>
    <definedName name="ИИИИИИТ" localSheetId="19">NULL</definedName>
    <definedName name="ИИИИИИТ" localSheetId="20">NULL</definedName>
    <definedName name="ИИИИИИТ">NULL</definedName>
    <definedName name="Ири" localSheetId="22">#REF!</definedName>
    <definedName name="Ири" localSheetId="36">#REF!</definedName>
    <definedName name="Ири" localSheetId="38">#REF!</definedName>
    <definedName name="Ири" localSheetId="30">#REF!</definedName>
    <definedName name="Ири" localSheetId="19">#REF!</definedName>
    <definedName name="Ири" localSheetId="20">#REF!</definedName>
    <definedName name="Ири">#REF!</definedName>
    <definedName name="Иэд" localSheetId="22">#REF!</definedName>
    <definedName name="Иэд" localSheetId="36">#REF!</definedName>
    <definedName name="Иэд" localSheetId="38">#REF!</definedName>
    <definedName name="Иэд" localSheetId="30">#REF!</definedName>
    <definedName name="Иэд" localSheetId="19">#REF!</definedName>
    <definedName name="Иэд" localSheetId="20">#REF!</definedName>
    <definedName name="Иэд">#REF!</definedName>
    <definedName name="Иэи" localSheetId="22">#REF!</definedName>
    <definedName name="Иэи" localSheetId="36">#REF!</definedName>
    <definedName name="Иэи" localSheetId="38">#REF!</definedName>
    <definedName name="Иэи" localSheetId="30">#REF!</definedName>
    <definedName name="Иэи" localSheetId="19">#REF!</definedName>
    <definedName name="Иэи" localSheetId="20">#REF!</definedName>
    <definedName name="Иэи">#REF!</definedName>
    <definedName name="каекак" localSheetId="22">NULL</definedName>
    <definedName name="каекак" localSheetId="19">NULL</definedName>
    <definedName name="каекак" localSheetId="20">NULL</definedName>
    <definedName name="каекак">NULL</definedName>
    <definedName name="ккекак" localSheetId="22">NULL</definedName>
    <definedName name="ккекак" localSheetId="19">NULL</definedName>
    <definedName name="ккекак" localSheetId="20">NULL</definedName>
    <definedName name="ккекак">NULL</definedName>
    <definedName name="КНБК">[8]Данные!$F$89:$F$136</definedName>
    <definedName name="КНБКБурение">[2]База!$D$9:$D$94</definedName>
    <definedName name="МаркировкаКНБКБурение">[2]База!$B$9:$B$94</definedName>
    <definedName name="МЕЕЕЕЕЕ" localSheetId="22">NULL</definedName>
    <definedName name="МЕЕЕЕЕЕ" localSheetId="19">NULL</definedName>
    <definedName name="МЕЕЕЕЕЕ" localSheetId="20">NULL</definedName>
    <definedName name="МЕЕЕЕЕЕ">NULL</definedName>
    <definedName name="ММЕЕЕЕЕ" localSheetId="22">NULL</definedName>
    <definedName name="ММЕЕЕЕЕ" localSheetId="19">NULL</definedName>
    <definedName name="ММЕЕЕЕЕ" localSheetId="20">NULL</definedName>
    <definedName name="ММЕЕЕЕЕ">NULL</definedName>
    <definedName name="ММКЕН" localSheetId="22">NULL</definedName>
    <definedName name="ММКЕН" localSheetId="19">NULL</definedName>
    <definedName name="ММКЕН" localSheetId="20">NULL</definedName>
    <definedName name="ММКЕН">NULL</definedName>
    <definedName name="МУКЕН" localSheetId="22">NULL</definedName>
    <definedName name="МУКЕН" localSheetId="19">NULL</definedName>
    <definedName name="МУКЕН" localSheetId="20">NULL</definedName>
    <definedName name="МУКЕН">NULL</definedName>
    <definedName name="н" localSheetId="15">#REF!</definedName>
    <definedName name="н" localSheetId="22">#REF!</definedName>
    <definedName name="н" localSheetId="36">#REF!</definedName>
    <definedName name="н" localSheetId="38">#REF!</definedName>
    <definedName name="н" localSheetId="14">#REF!</definedName>
    <definedName name="н" localSheetId="30">#REF!</definedName>
    <definedName name="н" localSheetId="19">#REF!</definedName>
    <definedName name="н" localSheetId="18">#REF!</definedName>
    <definedName name="н" localSheetId="16">#REF!</definedName>
    <definedName name="н" localSheetId="20">#REF!</definedName>
    <definedName name="н" localSheetId="21">#REF!</definedName>
    <definedName name="н" localSheetId="0">#REF!</definedName>
    <definedName name="н" localSheetId="17">#REF!</definedName>
    <definedName name="н">#REF!</definedName>
    <definedName name="НЕиыа" localSheetId="22">NULL</definedName>
    <definedName name="НЕиыа" localSheetId="19">NULL</definedName>
    <definedName name="НЕиыа" localSheetId="20">NULL</definedName>
    <definedName name="НЕиыа">NULL</definedName>
    <definedName name="НЕТ" localSheetId="22">NULL</definedName>
    <definedName name="НЕТ" localSheetId="19">NULL</definedName>
    <definedName name="НЕТ" localSheetId="20">NULL</definedName>
    <definedName name="НЕТ">NULL</definedName>
    <definedName name="ННиыа" localSheetId="22">NULL</definedName>
    <definedName name="ННиыа" localSheetId="19">NULL</definedName>
    <definedName name="ННиыа" localSheetId="20">NULL</definedName>
    <definedName name="ННиыа">NULL</definedName>
    <definedName name="ННТ" localSheetId="22">NULL</definedName>
    <definedName name="ННТ" localSheetId="19">NULL</definedName>
    <definedName name="ННТ" localSheetId="20">NULL</definedName>
    <definedName name="ННТ">NULL</definedName>
    <definedName name="о" localSheetId="22">#REF!</definedName>
    <definedName name="о" localSheetId="19">#REF!</definedName>
    <definedName name="о" localSheetId="20">#REF!</definedName>
    <definedName name="о">#REF!</definedName>
    <definedName name="_xlnm.Print_Area" localSheetId="15">'№ 8.1  ННС 21'!$A$1:$M$91</definedName>
    <definedName name="_xlnm.Print_Area" localSheetId="22">'№ 8.1 ГС 45'!$A$1:$M$95</definedName>
    <definedName name="_xlnm.Print_Area" localSheetId="33">'№ 8.1.10 Пароводоснабжение'!$A$1:$F$30</definedName>
    <definedName name="_xlnm.Print_Area" localSheetId="31">'№ 8.1.8 Износ буриль.труб'!$A$1:$I$29</definedName>
    <definedName name="_xlnm.Print_Area" localSheetId="7">'№1,6 Мобил., демоб  БУ'!$A$1:$S$116</definedName>
    <definedName name="_xlnm.Print_Area" localSheetId="24">'№13 Суточная ставка'!$A$1:$H$61</definedName>
    <definedName name="_xlnm.Print_Area" localSheetId="10">'№2.1.Монтаж БУ'!$A$1:$G$82</definedName>
    <definedName name="_xlnm.Print_Area" localSheetId="12">'№2.2 Арт.скв.'!$A$1:$G$28</definedName>
    <definedName name="_xlnm.Print_Area" localSheetId="13">'№2.3 ПНР'!$A$1:$F$80</definedName>
    <definedName name="_xlnm.Print_Area" localSheetId="11">'№5.1Демонтаж БУ'!$A$1:$G$79</definedName>
    <definedName name="_xlnm.Print_Area" localSheetId="25">'№8.1.1 ЗП'!$A$1:$H$30</definedName>
    <definedName name="_xlnm.Print_Area" localSheetId="35">'№8.1.24 Транспорт'!$A$1:$O$32</definedName>
    <definedName name="_xlnm.Print_Area" localSheetId="30">'№8.1.7 Проч. материалы'!$A$1:$K$14</definedName>
    <definedName name="_xlnm.Print_Area" localSheetId="20">'График ВМР (Самсонов)'!$A$1:$BX$98</definedName>
    <definedName name="_xlnm.Print_Area" localSheetId="0">'Комм пред '!$A$1:$J$67</definedName>
    <definedName name="_xlnm.Print_Area" localSheetId="39">'расчет шлама'!$A$10:$L$112</definedName>
    <definedName name="_xlnm.Print_Area">#REF!</definedName>
    <definedName name="Отчет">"Объект 12"</definedName>
    <definedName name="п" localSheetId="15">#REF!</definedName>
    <definedName name="п" localSheetId="22">#REF!</definedName>
    <definedName name="п" localSheetId="36">#REF!</definedName>
    <definedName name="п" localSheetId="38">#REF!</definedName>
    <definedName name="п" localSheetId="14">#REF!</definedName>
    <definedName name="п" localSheetId="30">#REF!</definedName>
    <definedName name="п" localSheetId="19">#REF!</definedName>
    <definedName name="п" localSheetId="18">#REF!</definedName>
    <definedName name="п" localSheetId="16">#REF!</definedName>
    <definedName name="п" localSheetId="20">#REF!</definedName>
    <definedName name="п" localSheetId="21">#REF!</definedName>
    <definedName name="п" localSheetId="0">#REF!</definedName>
    <definedName name="п" localSheetId="17">#REF!</definedName>
    <definedName name="п">#REF!</definedName>
    <definedName name="ПП_нек" localSheetId="22">NULL</definedName>
    <definedName name="ПП_нек" localSheetId="19">NULL</definedName>
    <definedName name="ПП_нек" localSheetId="20">NULL</definedName>
    <definedName name="ПП_нек">NULL</definedName>
    <definedName name="ПР_нек" localSheetId="22">NULL</definedName>
    <definedName name="ПР_нек" localSheetId="19">NULL</definedName>
    <definedName name="ПР_нек" localSheetId="20">NULL</definedName>
    <definedName name="ПР_нек">NULL</definedName>
    <definedName name="РРрак" localSheetId="22">NULL</definedName>
    <definedName name="РРрак" localSheetId="19">NULL</definedName>
    <definedName name="РРрак" localSheetId="20">NULL</definedName>
    <definedName name="РРрак">NULL</definedName>
    <definedName name="РРрап" localSheetId="22">NULL</definedName>
    <definedName name="РРрап" localSheetId="19">NULL</definedName>
    <definedName name="РРрап" localSheetId="20">NULL</definedName>
    <definedName name="РРрап">NULL</definedName>
    <definedName name="РРРРО" localSheetId="22">NULL</definedName>
    <definedName name="РРРРО" localSheetId="19">NULL</definedName>
    <definedName name="РРРРО" localSheetId="20">NULL</definedName>
    <definedName name="РРРРО">NULL</definedName>
    <definedName name="РРРРР" localSheetId="22">NULL</definedName>
    <definedName name="РРРРР" localSheetId="19">NULL</definedName>
    <definedName name="РРРРР" localSheetId="20">NULL</definedName>
    <definedName name="РРРРР">NULL</definedName>
    <definedName name="ск" localSheetId="22">#REF!</definedName>
    <definedName name="ск" localSheetId="30">#REF!</definedName>
    <definedName name="ск" localSheetId="19">#REF!</definedName>
    <definedName name="ск" localSheetId="20">#REF!</definedName>
    <definedName name="ск">#REF!</definedName>
    <definedName name="средтех" localSheetId="22">#REF!</definedName>
    <definedName name="средтех" localSheetId="30">#REF!</definedName>
    <definedName name="средтех" localSheetId="19">#REF!</definedName>
    <definedName name="средтех" localSheetId="20">#REF!</definedName>
    <definedName name="средтех">#REF!</definedName>
    <definedName name="средтехск" localSheetId="22">#REF!</definedName>
    <definedName name="средтехск" localSheetId="36">#REF!</definedName>
    <definedName name="средтехск" localSheetId="38">#REF!</definedName>
    <definedName name="средтехск" localSheetId="30">#REF!</definedName>
    <definedName name="средтехск" localSheetId="19">#REF!</definedName>
    <definedName name="средтехск" localSheetId="20">#REF!</definedName>
    <definedName name="средтехск">#REF!</definedName>
    <definedName name="сртехск" localSheetId="36">[9]монтаж!$F$4</definedName>
    <definedName name="сртехск" localSheetId="38">[10]монтаж!$F$4</definedName>
    <definedName name="сртехск" localSheetId="30">[9]монтаж!$F$4</definedName>
    <definedName name="сртехск">[10]монтаж!$F$4</definedName>
    <definedName name="стехск" localSheetId="15">[4]бурение!#REF!</definedName>
    <definedName name="стехск" localSheetId="22">[4]бурение!#REF!</definedName>
    <definedName name="стехск" localSheetId="36">[5]бурение!#REF!</definedName>
    <definedName name="стехск" localSheetId="38">[4]бурение!#REF!</definedName>
    <definedName name="стехск" localSheetId="14">[4]бурение!#REF!</definedName>
    <definedName name="стехск" localSheetId="30">[5]бурение!#REF!</definedName>
    <definedName name="стехск" localSheetId="19">[4]бурение!#REF!</definedName>
    <definedName name="стехск" localSheetId="18">[4]бурение!#REF!</definedName>
    <definedName name="стехск" localSheetId="16">[4]бурение!#REF!</definedName>
    <definedName name="стехск" localSheetId="20">[4]бурение!#REF!</definedName>
    <definedName name="стехск" localSheetId="21">[4]бурение!#REF!</definedName>
    <definedName name="стехск" localSheetId="0">[4]бурение!#REF!</definedName>
    <definedName name="стехск" localSheetId="17">[4]бурение!#REF!</definedName>
    <definedName name="стехск">[4]бурение!#REF!</definedName>
    <definedName name="Тип_элемента">[8]Данные!$D$89:$D$174</definedName>
    <definedName name="транс" localSheetId="15">#REF!</definedName>
    <definedName name="транс" localSheetId="22">#REF!</definedName>
    <definedName name="транс" localSheetId="38">#REF!</definedName>
    <definedName name="транс" localSheetId="14">#REF!</definedName>
    <definedName name="транс" localSheetId="30">#REF!</definedName>
    <definedName name="транс" localSheetId="19">#REF!</definedName>
    <definedName name="транс" localSheetId="18">#REF!</definedName>
    <definedName name="транс" localSheetId="16">#REF!</definedName>
    <definedName name="транс" localSheetId="20">#REF!</definedName>
    <definedName name="транс" localSheetId="21">#REF!</definedName>
    <definedName name="транс" localSheetId="0">#REF!</definedName>
    <definedName name="транс" localSheetId="17">#REF!</definedName>
    <definedName name="транс">#REF!</definedName>
    <definedName name="троооо" localSheetId="22">NULL</definedName>
    <definedName name="троооо" localSheetId="19">NULL</definedName>
    <definedName name="троооо" localSheetId="20">NULL</definedName>
    <definedName name="троооо">NULL</definedName>
    <definedName name="ттоооо" localSheetId="22">NULL</definedName>
    <definedName name="ттоооо" localSheetId="19">NULL</definedName>
    <definedName name="ттоооо" localSheetId="20">NULL</definedName>
    <definedName name="ттоооо">NULL</definedName>
    <definedName name="Урд" localSheetId="22">#REF!</definedName>
    <definedName name="Урд" localSheetId="36">#REF!</definedName>
    <definedName name="Урд" localSheetId="38">#REF!</definedName>
    <definedName name="Урд" localSheetId="30">#REF!</definedName>
    <definedName name="Урд" localSheetId="19">#REF!</definedName>
    <definedName name="Урд" localSheetId="18">#REF!</definedName>
    <definedName name="Урд" localSheetId="20">#REF!</definedName>
    <definedName name="Урд">#REF!</definedName>
    <definedName name="Ури" localSheetId="22">#REF!</definedName>
    <definedName name="Ури" localSheetId="36">#REF!</definedName>
    <definedName name="Ури" localSheetId="38">#REF!</definedName>
    <definedName name="Ури" localSheetId="30">#REF!</definedName>
    <definedName name="Ури" localSheetId="19">#REF!</definedName>
    <definedName name="Ури" localSheetId="20">#REF!</definedName>
    <definedName name="Ури">#REF!</definedName>
    <definedName name="Уру" localSheetId="22">#REF!</definedName>
    <definedName name="Уру" localSheetId="36">#REF!</definedName>
    <definedName name="Уру" localSheetId="38">#REF!</definedName>
    <definedName name="Уру" localSheetId="30">#REF!</definedName>
    <definedName name="Уру" localSheetId="19">#REF!</definedName>
    <definedName name="Уру" localSheetId="20">#REF!</definedName>
    <definedName name="Уру">#REF!</definedName>
    <definedName name="Участки" localSheetId="22">#REF!</definedName>
    <definedName name="Участки" localSheetId="36">#REF!</definedName>
    <definedName name="Участки" localSheetId="38">#REF!</definedName>
    <definedName name="Участки" localSheetId="30">#REF!</definedName>
    <definedName name="Участки" localSheetId="19">#REF!</definedName>
    <definedName name="Участки">#REF!</definedName>
    <definedName name="Уэд" localSheetId="22">#REF!</definedName>
    <definedName name="Уэд" localSheetId="36">#REF!</definedName>
    <definedName name="Уэд" localSheetId="38">#REF!</definedName>
    <definedName name="Уэд" localSheetId="30">#REF!</definedName>
    <definedName name="Уэд" localSheetId="19">#REF!</definedName>
    <definedName name="Уэд">#REF!</definedName>
    <definedName name="фв" localSheetId="36">'[11]Основная таблица'!$A$20:$B$110</definedName>
    <definedName name="фв" localSheetId="38">'[12]Основная таблица'!$A$20:$B$110</definedName>
    <definedName name="фв" localSheetId="30">'[11]Основная таблица'!$A$20:$B$110</definedName>
    <definedName name="фв">'[12]Основная таблица'!$A$20:$B$110</definedName>
    <definedName name="ффв" localSheetId="22">NULL</definedName>
    <definedName name="ффв" localSheetId="19">NULL</definedName>
    <definedName name="ффв" localSheetId="20">NULL</definedName>
    <definedName name="ффв">NULL</definedName>
    <definedName name="фыв" localSheetId="22">NULL</definedName>
    <definedName name="фыв" localSheetId="19">NULL</definedName>
    <definedName name="фыв" localSheetId="20">NULL</definedName>
    <definedName name="фыв">NULL</definedName>
    <definedName name="Чрд" localSheetId="22">#REF!</definedName>
    <definedName name="Чрд" localSheetId="36">#REF!</definedName>
    <definedName name="Чрд" localSheetId="38">#REF!</definedName>
    <definedName name="Чрд" localSheetId="30">#REF!</definedName>
    <definedName name="Чрд" localSheetId="19">#REF!</definedName>
    <definedName name="Чрд" localSheetId="18">#REF!</definedName>
    <definedName name="Чрд" localSheetId="20">#REF!</definedName>
    <definedName name="Чрд">#REF!</definedName>
    <definedName name="Чэд" localSheetId="22">#REF!</definedName>
    <definedName name="Чэд" localSheetId="36">#REF!</definedName>
    <definedName name="Чэд" localSheetId="38">#REF!</definedName>
    <definedName name="Чэд" localSheetId="30">#REF!</definedName>
    <definedName name="Чэд" localSheetId="19">#REF!</definedName>
    <definedName name="Чэд" localSheetId="18">#REF!</definedName>
    <definedName name="Чэд" localSheetId="20">#REF!</definedName>
    <definedName name="Чэд">#REF!</definedName>
    <definedName name="Юэд" localSheetId="22">#REF!</definedName>
    <definedName name="Юэд" localSheetId="36">#REF!</definedName>
    <definedName name="Юэд" localSheetId="38">#REF!</definedName>
    <definedName name="Юэд" localSheetId="30">#REF!</definedName>
    <definedName name="Юэд" localSheetId="19">#REF!</definedName>
    <definedName name="Юэд" localSheetId="18">#REF!</definedName>
    <definedName name="Юэд" localSheetId="20">#REF!</definedName>
    <definedName name="Юэд">#REF!</definedName>
    <definedName name="Юэн" localSheetId="22">#REF!</definedName>
    <definedName name="Юэн" localSheetId="36">#REF!</definedName>
    <definedName name="Юэн" localSheetId="38">#REF!</definedName>
    <definedName name="Юэн" localSheetId="30">#REF!</definedName>
    <definedName name="Юэн" localSheetId="19">#REF!</definedName>
    <definedName name="Юэн">#REF!</definedName>
  </definedNames>
  <calcPr calcId="191029"/>
</workbook>
</file>

<file path=xl/calcChain.xml><?xml version="1.0" encoding="utf-8"?>
<calcChain xmlns="http://schemas.openxmlformats.org/spreadsheetml/2006/main">
  <c r="P58" i="75" l="1"/>
  <c r="F48" i="75"/>
  <c r="F3" i="75" s="1"/>
  <c r="O46" i="75"/>
  <c r="L46" i="75"/>
  <c r="I46" i="75"/>
  <c r="O45" i="75"/>
  <c r="L45" i="75"/>
  <c r="I45" i="75"/>
  <c r="F45" i="75"/>
  <c r="O44" i="75"/>
  <c r="L44" i="75"/>
  <c r="L47" i="75" s="1"/>
  <c r="L48" i="75" s="1"/>
  <c r="L3" i="75" s="1"/>
  <c r="I44" i="75"/>
  <c r="F44" i="75"/>
  <c r="F43" i="75"/>
  <c r="L32" i="75" l="1"/>
  <c r="I25" i="75"/>
  <c r="J25" i="75" s="1"/>
  <c r="I21" i="75"/>
  <c r="I17" i="75"/>
  <c r="I13" i="75"/>
  <c r="I9" i="75"/>
  <c r="I27" i="75"/>
  <c r="I23" i="75"/>
  <c r="I19" i="75"/>
  <c r="I15" i="75"/>
  <c r="I11" i="75"/>
  <c r="J11" i="75" s="1"/>
  <c r="I7" i="75"/>
  <c r="I26" i="75"/>
  <c r="I18" i="75"/>
  <c r="I14" i="75"/>
  <c r="I6" i="75"/>
  <c r="I16" i="75"/>
  <c r="I8" i="75"/>
  <c r="I22" i="75"/>
  <c r="I10" i="75"/>
  <c r="I24" i="75"/>
  <c r="I20" i="75"/>
  <c r="J20" i="75" s="1"/>
  <c r="I12" i="75"/>
  <c r="I47" i="75"/>
  <c r="I48" i="75" s="1"/>
  <c r="I3" i="75" s="1"/>
  <c r="O47" i="75"/>
  <c r="O48" i="75" s="1"/>
  <c r="O3" i="75" s="1"/>
  <c r="J19" i="75"/>
  <c r="J17" i="75"/>
  <c r="I28" i="75"/>
  <c r="I29" i="75"/>
  <c r="I30" i="75"/>
  <c r="I31" i="75"/>
  <c r="I32" i="75"/>
  <c r="I33" i="75"/>
  <c r="L6" i="75"/>
  <c r="L10" i="75"/>
  <c r="L13" i="75"/>
  <c r="L16" i="75"/>
  <c r="L21" i="75"/>
  <c r="L24" i="75"/>
  <c r="L27" i="75"/>
  <c r="L30" i="75"/>
  <c r="F46" i="75"/>
  <c r="F47" i="75" s="1"/>
  <c r="L8" i="75"/>
  <c r="L11" i="75"/>
  <c r="L15" i="75"/>
  <c r="L17" i="75"/>
  <c r="L20" i="75"/>
  <c r="L23" i="75"/>
  <c r="L26" i="75"/>
  <c r="L29" i="75"/>
  <c r="O6" i="75"/>
  <c r="O7" i="75"/>
  <c r="O8" i="75"/>
  <c r="O9" i="75"/>
  <c r="O10" i="75"/>
  <c r="O11" i="75"/>
  <c r="O12" i="75"/>
  <c r="O13" i="75"/>
  <c r="O14" i="75"/>
  <c r="O15" i="75"/>
  <c r="O16" i="75"/>
  <c r="O17" i="75"/>
  <c r="O18" i="75"/>
  <c r="O19" i="75"/>
  <c r="O20" i="75"/>
  <c r="O21" i="75"/>
  <c r="O22" i="75"/>
  <c r="O23" i="75"/>
  <c r="O24" i="75"/>
  <c r="O25" i="75"/>
  <c r="O26" i="75"/>
  <c r="O27" i="75"/>
  <c r="O28" i="75"/>
  <c r="O29" i="75"/>
  <c r="O30" i="75"/>
  <c r="O31" i="75"/>
  <c r="O32" i="75"/>
  <c r="O33" i="75"/>
  <c r="L7" i="75"/>
  <c r="L12" i="75"/>
  <c r="L19" i="75"/>
  <c r="L33" i="75"/>
  <c r="L9" i="75"/>
  <c r="L14" i="75"/>
  <c r="L18" i="75"/>
  <c r="L22" i="75"/>
  <c r="L25" i="75"/>
  <c r="L28" i="75"/>
  <c r="L31" i="75"/>
  <c r="F6" i="75"/>
  <c r="G6" i="75" s="1"/>
  <c r="F7" i="75"/>
  <c r="G7" i="75" s="1"/>
  <c r="J7" i="75" s="1"/>
  <c r="F8" i="75"/>
  <c r="G8" i="75" s="1"/>
  <c r="F9" i="75"/>
  <c r="G9" i="75" s="1"/>
  <c r="J9" i="75" s="1"/>
  <c r="F10" i="75"/>
  <c r="G10" i="75" s="1"/>
  <c r="J10" i="75" s="1"/>
  <c r="F11" i="75"/>
  <c r="G11" i="75" s="1"/>
  <c r="F12" i="75"/>
  <c r="G12" i="75" s="1"/>
  <c r="F13" i="75"/>
  <c r="G13" i="75" s="1"/>
  <c r="J13" i="75" s="1"/>
  <c r="F14" i="75"/>
  <c r="G14" i="75" s="1"/>
  <c r="J14" i="75" s="1"/>
  <c r="F15" i="75"/>
  <c r="G15" i="75" s="1"/>
  <c r="F16" i="75"/>
  <c r="G16" i="75" s="1"/>
  <c r="J16" i="75" s="1"/>
  <c r="F17" i="75"/>
  <c r="G17" i="75" s="1"/>
  <c r="F18" i="75"/>
  <c r="G18" i="75" s="1"/>
  <c r="J18" i="75" s="1"/>
  <c r="F19" i="75"/>
  <c r="G19" i="75" s="1"/>
  <c r="F20" i="75"/>
  <c r="G20" i="75" s="1"/>
  <c r="F21" i="75"/>
  <c r="G21" i="75" s="1"/>
  <c r="F22" i="75"/>
  <c r="G22" i="75" s="1"/>
  <c r="J22" i="75" s="1"/>
  <c r="F23" i="75"/>
  <c r="G23" i="75" s="1"/>
  <c r="J23" i="75" s="1"/>
  <c r="F24" i="75"/>
  <c r="G24" i="75" s="1"/>
  <c r="J24" i="75" s="1"/>
  <c r="F25" i="75"/>
  <c r="G25" i="75" s="1"/>
  <c r="F26" i="75"/>
  <c r="G26" i="75" s="1"/>
  <c r="J26" i="75" s="1"/>
  <c r="F27" i="75"/>
  <c r="G27" i="75" s="1"/>
  <c r="F28" i="75"/>
  <c r="G28" i="75" s="1"/>
  <c r="F29" i="75"/>
  <c r="G29" i="75" s="1"/>
  <c r="F30" i="75"/>
  <c r="G30" i="75" s="1"/>
  <c r="F31" i="75"/>
  <c r="G31" i="75" s="1"/>
  <c r="F32" i="75"/>
  <c r="G32" i="75" s="1"/>
  <c r="F33" i="75"/>
  <c r="G33" i="75" s="1"/>
  <c r="M19" i="75" l="1"/>
  <c r="J27" i="75"/>
  <c r="M27" i="75" s="1"/>
  <c r="P27" i="75" s="1"/>
  <c r="J15" i="75"/>
  <c r="M9" i="75"/>
  <c r="M10" i="75"/>
  <c r="J21" i="75"/>
  <c r="J33" i="75"/>
  <c r="M33" i="75" s="1"/>
  <c r="P33" i="75" s="1"/>
  <c r="J12" i="75"/>
  <c r="M12" i="75" s="1"/>
  <c r="P12" i="75" s="1"/>
  <c r="J8" i="75"/>
  <c r="M11" i="75"/>
  <c r="J28" i="75"/>
  <c r="G34" i="75"/>
  <c r="M28" i="75"/>
  <c r="P28" i="75" s="1"/>
  <c r="P19" i="75"/>
  <c r="P11" i="75"/>
  <c r="M23" i="75"/>
  <c r="P23" i="75" s="1"/>
  <c r="J32" i="75"/>
  <c r="M32" i="75" s="1"/>
  <c r="P32" i="75" s="1"/>
  <c r="M8" i="75"/>
  <c r="M25" i="75"/>
  <c r="M7" i="75"/>
  <c r="P7" i="75" s="1"/>
  <c r="P10" i="75"/>
  <c r="M20" i="75"/>
  <c r="P20" i="75" s="1"/>
  <c r="M24" i="75"/>
  <c r="J31" i="75"/>
  <c r="M31" i="75"/>
  <c r="P31" i="75" s="1"/>
  <c r="M22" i="75"/>
  <c r="P22" i="75" s="1"/>
  <c r="P25" i="75"/>
  <c r="P17" i="75"/>
  <c r="P9" i="75"/>
  <c r="M17" i="75"/>
  <c r="M21" i="75"/>
  <c r="P21" i="75" s="1"/>
  <c r="J30" i="75"/>
  <c r="M30" i="75" s="1"/>
  <c r="P30" i="75" s="1"/>
  <c r="M18" i="75"/>
  <c r="P18" i="75" s="1"/>
  <c r="P24" i="75"/>
  <c r="P8" i="75"/>
  <c r="M15" i="75"/>
  <c r="P15" i="75" s="1"/>
  <c r="M16" i="75"/>
  <c r="P16" i="75" s="1"/>
  <c r="J29" i="75"/>
  <c r="M29" i="75" s="1"/>
  <c r="P29" i="75" s="1"/>
  <c r="M26" i="75"/>
  <c r="P26" i="75" s="1"/>
  <c r="M14" i="75"/>
  <c r="P14" i="75" s="1"/>
  <c r="M13" i="75"/>
  <c r="P13" i="75" s="1"/>
  <c r="J6" i="75"/>
  <c r="J34" i="75" s="1"/>
  <c r="F41" i="59"/>
  <c r="F36" i="59"/>
  <c r="M6" i="75" l="1"/>
  <c r="K21" i="125"/>
  <c r="J21" i="125"/>
  <c r="I21" i="125"/>
  <c r="H21" i="125"/>
  <c r="G21" i="125"/>
  <c r="F21" i="125"/>
  <c r="E21" i="125"/>
  <c r="E92" i="124"/>
  <c r="E93" i="124" s="1"/>
  <c r="E94" i="124" s="1"/>
  <c r="E95" i="124" s="1"/>
  <c r="E96" i="124" s="1"/>
  <c r="E97" i="124" s="1"/>
  <c r="E98" i="124" s="1"/>
  <c r="E99" i="124" s="1"/>
  <c r="E100" i="124" s="1"/>
  <c r="E101" i="124" s="1"/>
  <c r="E102" i="124" s="1"/>
  <c r="E103" i="124" s="1"/>
  <c r="E104" i="124" s="1"/>
  <c r="E105" i="124" s="1"/>
  <c r="E106" i="124" s="1"/>
  <c r="E107" i="124" s="1"/>
  <c r="E108" i="124" s="1"/>
  <c r="E109" i="124" s="1"/>
  <c r="E89" i="124"/>
  <c r="E86" i="124"/>
  <c r="E83" i="124"/>
  <c r="E80" i="124"/>
  <c r="E77" i="124"/>
  <c r="E74" i="124"/>
  <c r="E71" i="124"/>
  <c r="E68" i="124"/>
  <c r="E65" i="124"/>
  <c r="E62" i="124"/>
  <c r="E59" i="124"/>
  <c r="E56" i="124"/>
  <c r="E53" i="124"/>
  <c r="E50" i="124"/>
  <c r="F48" i="114"/>
  <c r="F3" i="114" s="1"/>
  <c r="O46" i="114"/>
  <c r="L46" i="114"/>
  <c r="I46" i="114"/>
  <c r="O45" i="114"/>
  <c r="L45" i="114"/>
  <c r="I45" i="114"/>
  <c r="F45" i="114"/>
  <c r="O44" i="114"/>
  <c r="O47" i="114" s="1"/>
  <c r="L44" i="114"/>
  <c r="I44" i="114"/>
  <c r="F44" i="114"/>
  <c r="F43" i="114"/>
  <c r="O3" i="122"/>
  <c r="F48" i="122"/>
  <c r="F47" i="122"/>
  <c r="L46" i="122"/>
  <c r="I46" i="122"/>
  <c r="F46" i="122"/>
  <c r="L45" i="122"/>
  <c r="L47" i="122" s="1"/>
  <c r="L48" i="122" s="1"/>
  <c r="L3" i="122" s="1"/>
  <c r="I45" i="122"/>
  <c r="F45" i="122"/>
  <c r="L44" i="122"/>
  <c r="I44" i="122"/>
  <c r="I47" i="122" s="1"/>
  <c r="I48" i="122" s="1"/>
  <c r="I3" i="122" s="1"/>
  <c r="F44" i="122"/>
  <c r="F43" i="122"/>
  <c r="F33" i="122"/>
  <c r="G33" i="122" s="1"/>
  <c r="F32" i="122"/>
  <c r="G32" i="122" s="1"/>
  <c r="F31" i="122"/>
  <c r="G31" i="122" s="1"/>
  <c r="F30" i="122"/>
  <c r="G30" i="122" s="1"/>
  <c r="I29" i="122"/>
  <c r="O28" i="122"/>
  <c r="F28" i="122"/>
  <c r="G28" i="122" s="1"/>
  <c r="I27" i="122"/>
  <c r="O26" i="122"/>
  <c r="F26" i="122"/>
  <c r="G26" i="122" s="1"/>
  <c r="I25" i="122"/>
  <c r="O24" i="122"/>
  <c r="F24" i="122"/>
  <c r="G24" i="122" s="1"/>
  <c r="I23" i="122"/>
  <c r="O22" i="122"/>
  <c r="F22" i="122"/>
  <c r="G22" i="122" s="1"/>
  <c r="I21" i="122"/>
  <c r="O20" i="122"/>
  <c r="F20" i="122"/>
  <c r="G20" i="122" s="1"/>
  <c r="I19" i="122"/>
  <c r="O18" i="122"/>
  <c r="F18" i="122"/>
  <c r="G18" i="122" s="1"/>
  <c r="I17" i="122"/>
  <c r="O16" i="122"/>
  <c r="F16" i="122"/>
  <c r="G16" i="122" s="1"/>
  <c r="I15" i="122"/>
  <c r="O14" i="122"/>
  <c r="F14" i="122"/>
  <c r="G14" i="122" s="1"/>
  <c r="I13" i="122"/>
  <c r="O12" i="122"/>
  <c r="F12" i="122"/>
  <c r="G12" i="122" s="1"/>
  <c r="I11" i="122"/>
  <c r="O10" i="122"/>
  <c r="F10" i="122"/>
  <c r="G10" i="122" s="1"/>
  <c r="I9" i="122"/>
  <c r="O8" i="122"/>
  <c r="F8" i="122"/>
  <c r="G8" i="122" s="1"/>
  <c r="I7" i="122"/>
  <c r="O6" i="122"/>
  <c r="F6" i="122"/>
  <c r="G6" i="122" s="1"/>
  <c r="F3" i="122"/>
  <c r="L32" i="122" s="1"/>
  <c r="F70" i="119"/>
  <c r="F45" i="119"/>
  <c r="F20" i="119"/>
  <c r="F21" i="119" s="1"/>
  <c r="F19" i="119"/>
  <c r="C39" i="84"/>
  <c r="E38" i="84"/>
  <c r="E37" i="84"/>
  <c r="E39" i="84" s="1"/>
  <c r="H62" i="81"/>
  <c r="H63" i="81" s="1"/>
  <c r="H64" i="81" s="1"/>
  <c r="C6" i="48"/>
  <c r="L87" i="121"/>
  <c r="K87" i="121"/>
  <c r="K88" i="121" s="1"/>
  <c r="J87" i="121"/>
  <c r="I87" i="121"/>
  <c r="H87" i="121"/>
  <c r="G87" i="121"/>
  <c r="F87" i="121"/>
  <c r="E87" i="121"/>
  <c r="A79" i="121"/>
  <c r="A80" i="121" s="1"/>
  <c r="A81" i="121" s="1"/>
  <c r="A82" i="121" s="1"/>
  <c r="A83" i="121" s="1"/>
  <c r="A84" i="121" s="1"/>
  <c r="A85" i="121" s="1"/>
  <c r="A86" i="121" s="1"/>
  <c r="A87" i="121" s="1"/>
  <c r="A88" i="121" s="1"/>
  <c r="A73" i="121"/>
  <c r="A74" i="121" s="1"/>
  <c r="A75" i="121" s="1"/>
  <c r="A76" i="121" s="1"/>
  <c r="L52" i="121"/>
  <c r="K52" i="121"/>
  <c r="J52" i="121"/>
  <c r="I52" i="121"/>
  <c r="H52" i="121"/>
  <c r="G52" i="121"/>
  <c r="F52" i="121"/>
  <c r="E52" i="121"/>
  <c r="L49" i="121"/>
  <c r="K49" i="121"/>
  <c r="J49" i="121"/>
  <c r="I49" i="121"/>
  <c r="H49" i="121"/>
  <c r="G49" i="121"/>
  <c r="F49" i="121"/>
  <c r="E49" i="121"/>
  <c r="L37" i="121"/>
  <c r="E31" i="121"/>
  <c r="F24" i="121"/>
  <c r="F23" i="121"/>
  <c r="F22" i="121"/>
  <c r="F21" i="121"/>
  <c r="E12" i="121"/>
  <c r="E10" i="121"/>
  <c r="D8" i="121"/>
  <c r="D6" i="121"/>
  <c r="G23" i="32"/>
  <c r="C4" i="33"/>
  <c r="F113" i="120"/>
  <c r="R107" i="120"/>
  <c r="R106" i="120"/>
  <c r="R105" i="120"/>
  <c r="R104" i="120"/>
  <c r="K103" i="120"/>
  <c r="J103" i="120"/>
  <c r="L103" i="120" s="1"/>
  <c r="R103" i="120" s="1"/>
  <c r="K102" i="120"/>
  <c r="J102" i="120"/>
  <c r="L102" i="120" s="1"/>
  <c r="R102" i="120" s="1"/>
  <c r="K96" i="120"/>
  <c r="K95" i="120"/>
  <c r="K92" i="120"/>
  <c r="K94" i="120" s="1"/>
  <c r="F90" i="120"/>
  <c r="E90" i="120"/>
  <c r="B90" i="120"/>
  <c r="O89" i="120"/>
  <c r="K89" i="120"/>
  <c r="F89" i="120"/>
  <c r="E89" i="120"/>
  <c r="B89" i="120"/>
  <c r="O88" i="120"/>
  <c r="K88" i="120"/>
  <c r="F88" i="120"/>
  <c r="E88" i="120"/>
  <c r="O87" i="120"/>
  <c r="K87" i="120"/>
  <c r="F87" i="120"/>
  <c r="E87" i="120"/>
  <c r="O86" i="120"/>
  <c r="K86" i="120"/>
  <c r="F86" i="120"/>
  <c r="E86" i="120"/>
  <c r="O85" i="120"/>
  <c r="K85" i="120"/>
  <c r="F85" i="120"/>
  <c r="E85" i="120"/>
  <c r="O84" i="120"/>
  <c r="K84" i="120"/>
  <c r="F84" i="120"/>
  <c r="E84" i="120"/>
  <c r="O83" i="120"/>
  <c r="K83" i="120"/>
  <c r="F83" i="120"/>
  <c r="E83" i="120"/>
  <c r="B83" i="120"/>
  <c r="F82" i="120"/>
  <c r="E82" i="120"/>
  <c r="B82" i="120"/>
  <c r="O80" i="120"/>
  <c r="O82" i="120" s="1"/>
  <c r="K80" i="120"/>
  <c r="K90" i="120" s="1"/>
  <c r="F80" i="120"/>
  <c r="E80" i="120"/>
  <c r="P75" i="120"/>
  <c r="J96" i="120" s="1"/>
  <c r="M74" i="120"/>
  <c r="D80" i="120" s="1"/>
  <c r="G74" i="120"/>
  <c r="R55" i="120"/>
  <c r="R43" i="120"/>
  <c r="R37" i="120"/>
  <c r="R59" i="120" s="1"/>
  <c r="R66" i="120" s="1"/>
  <c r="J7" i="120"/>
  <c r="J27" i="122" l="1"/>
  <c r="O3" i="114"/>
  <c r="O48" i="114"/>
  <c r="O90" i="120"/>
  <c r="R98" i="120"/>
  <c r="I6" i="122"/>
  <c r="J6" i="122" s="1"/>
  <c r="O7" i="122"/>
  <c r="F9" i="122"/>
  <c r="G9" i="122" s="1"/>
  <c r="I10" i="122"/>
  <c r="J10" i="122" s="1"/>
  <c r="O11" i="122"/>
  <c r="F13" i="122"/>
  <c r="G13" i="122" s="1"/>
  <c r="I14" i="122"/>
  <c r="O15" i="122"/>
  <c r="F17" i="122"/>
  <c r="G17" i="122" s="1"/>
  <c r="J17" i="122" s="1"/>
  <c r="I18" i="122"/>
  <c r="O19" i="122"/>
  <c r="F21" i="122"/>
  <c r="G21" i="122" s="1"/>
  <c r="J21" i="122" s="1"/>
  <c r="I22" i="122"/>
  <c r="J22" i="122" s="1"/>
  <c r="O23" i="122"/>
  <c r="F25" i="122"/>
  <c r="G25" i="122" s="1"/>
  <c r="I26" i="122"/>
  <c r="O27" i="122"/>
  <c r="F29" i="122"/>
  <c r="G29" i="122" s="1"/>
  <c r="O30" i="122"/>
  <c r="O32" i="122"/>
  <c r="I47" i="114"/>
  <c r="I48" i="114" s="1"/>
  <c r="I3" i="114" s="1"/>
  <c r="L96" i="120"/>
  <c r="R96" i="120" s="1"/>
  <c r="F7" i="122"/>
  <c r="G7" i="122" s="1"/>
  <c r="I8" i="122"/>
  <c r="J8" i="122" s="1"/>
  <c r="O9" i="122"/>
  <c r="F11" i="122"/>
  <c r="G11" i="122" s="1"/>
  <c r="J11" i="122" s="1"/>
  <c r="I12" i="122"/>
  <c r="J12" i="122" s="1"/>
  <c r="O13" i="122"/>
  <c r="F15" i="122"/>
  <c r="G15" i="122" s="1"/>
  <c r="G34" i="122" s="1"/>
  <c r="I16" i="122"/>
  <c r="J16" i="122" s="1"/>
  <c r="O17" i="122"/>
  <c r="F19" i="122"/>
  <c r="G19" i="122" s="1"/>
  <c r="J19" i="122" s="1"/>
  <c r="I20" i="122"/>
  <c r="J20" i="122" s="1"/>
  <c r="O21" i="122"/>
  <c r="F23" i="122"/>
  <c r="G23" i="122" s="1"/>
  <c r="I24" i="122"/>
  <c r="J24" i="122" s="1"/>
  <c r="O25" i="122"/>
  <c r="F27" i="122"/>
  <c r="G27" i="122" s="1"/>
  <c r="I28" i="122"/>
  <c r="J28" i="122" s="1"/>
  <c r="O29" i="122"/>
  <c r="O31" i="122"/>
  <c r="O33" i="122"/>
  <c r="L47" i="114"/>
  <c r="L48" i="114" s="1"/>
  <c r="L3" i="114" s="1"/>
  <c r="M34" i="75"/>
  <c r="P6" i="75"/>
  <c r="P34" i="75" s="1"/>
  <c r="I30" i="114"/>
  <c r="I27" i="114"/>
  <c r="I24" i="114"/>
  <c r="I20" i="114"/>
  <c r="I17" i="114"/>
  <c r="I12" i="114"/>
  <c r="I8" i="114"/>
  <c r="F33" i="114"/>
  <c r="G33" i="114" s="1"/>
  <c r="F32" i="114"/>
  <c r="G32" i="114" s="1"/>
  <c r="F31" i="114"/>
  <c r="G31" i="114" s="1"/>
  <c r="F30" i="114"/>
  <c r="G30" i="114" s="1"/>
  <c r="F29" i="114"/>
  <c r="G29" i="114" s="1"/>
  <c r="F28" i="114"/>
  <c r="G28" i="114" s="1"/>
  <c r="F27" i="114"/>
  <c r="G27" i="114" s="1"/>
  <c r="F26" i="114"/>
  <c r="G26" i="114" s="1"/>
  <c r="F25" i="114"/>
  <c r="G25" i="114" s="1"/>
  <c r="F24" i="114"/>
  <c r="G24" i="114" s="1"/>
  <c r="F23" i="114"/>
  <c r="G23" i="114" s="1"/>
  <c r="F22" i="114"/>
  <c r="G22" i="114" s="1"/>
  <c r="F21" i="114"/>
  <c r="G21" i="114" s="1"/>
  <c r="F20" i="114"/>
  <c r="G20" i="114" s="1"/>
  <c r="F19" i="114"/>
  <c r="G19" i="114" s="1"/>
  <c r="F18" i="114"/>
  <c r="G18" i="114" s="1"/>
  <c r="F17" i="114"/>
  <c r="G17" i="114" s="1"/>
  <c r="F16" i="114"/>
  <c r="G16" i="114" s="1"/>
  <c r="F15" i="114"/>
  <c r="G15" i="114" s="1"/>
  <c r="F14" i="114"/>
  <c r="G14" i="114" s="1"/>
  <c r="F13" i="114"/>
  <c r="G13" i="114" s="1"/>
  <c r="F12" i="114"/>
  <c r="G12" i="114" s="1"/>
  <c r="F11" i="114"/>
  <c r="G11" i="114" s="1"/>
  <c r="F10" i="114"/>
  <c r="G10" i="114" s="1"/>
  <c r="F9" i="114"/>
  <c r="G9" i="114" s="1"/>
  <c r="F8" i="114"/>
  <c r="G8" i="114" s="1"/>
  <c r="F7" i="114"/>
  <c r="G7" i="114" s="1"/>
  <c r="F6" i="114"/>
  <c r="G6" i="114" s="1"/>
  <c r="I31" i="114"/>
  <c r="I29" i="114"/>
  <c r="I26" i="114"/>
  <c r="I21" i="114"/>
  <c r="I16" i="114"/>
  <c r="I11" i="114"/>
  <c r="J11" i="114" s="1"/>
  <c r="I6" i="114"/>
  <c r="I32" i="114"/>
  <c r="O33" i="114"/>
  <c r="O32" i="114"/>
  <c r="O31" i="114"/>
  <c r="O30" i="114"/>
  <c r="O29" i="114"/>
  <c r="O28" i="114"/>
  <c r="O27" i="114"/>
  <c r="O26" i="114"/>
  <c r="O25" i="114"/>
  <c r="O24" i="114"/>
  <c r="O23" i="114"/>
  <c r="O22" i="114"/>
  <c r="O21" i="114"/>
  <c r="O20" i="114"/>
  <c r="O19" i="114"/>
  <c r="O18" i="114"/>
  <c r="O17" i="114"/>
  <c r="O16" i="114"/>
  <c r="O15" i="114"/>
  <c r="O14" i="114"/>
  <c r="O13" i="114"/>
  <c r="O12" i="114"/>
  <c r="O11" i="114"/>
  <c r="O10" i="114"/>
  <c r="O9" i="114"/>
  <c r="O8" i="114"/>
  <c r="O7" i="114"/>
  <c r="O6" i="114"/>
  <c r="I33" i="114"/>
  <c r="J33" i="114" s="1"/>
  <c r="I28" i="114"/>
  <c r="I23" i="114"/>
  <c r="J23" i="114" s="1"/>
  <c r="I19" i="114"/>
  <c r="J19" i="114" s="1"/>
  <c r="I14" i="114"/>
  <c r="J14" i="114" s="1"/>
  <c r="I9" i="114"/>
  <c r="I25" i="114"/>
  <c r="I18" i="114"/>
  <c r="J18" i="114" s="1"/>
  <c r="I13" i="114"/>
  <c r="J13" i="114" s="1"/>
  <c r="I7" i="114"/>
  <c r="L33" i="114"/>
  <c r="L32" i="114"/>
  <c r="L31" i="114"/>
  <c r="L30" i="114"/>
  <c r="L29" i="114"/>
  <c r="L28" i="114"/>
  <c r="L27" i="114"/>
  <c r="L26" i="114"/>
  <c r="L25" i="114"/>
  <c r="L24" i="114"/>
  <c r="L23" i="114"/>
  <c r="L22" i="114"/>
  <c r="L21" i="114"/>
  <c r="L20" i="114"/>
  <c r="L19" i="114"/>
  <c r="M19" i="114" s="1"/>
  <c r="L18" i="114"/>
  <c r="L17" i="114"/>
  <c r="L16" i="114"/>
  <c r="L15" i="114"/>
  <c r="L14" i="114"/>
  <c r="L13" i="114"/>
  <c r="L12" i="114"/>
  <c r="L11" i="114"/>
  <c r="L10" i="114"/>
  <c r="L9" i="114"/>
  <c r="L8" i="114"/>
  <c r="L7" i="114"/>
  <c r="L6" i="114"/>
  <c r="I22" i="114"/>
  <c r="I15" i="114"/>
  <c r="I10" i="114"/>
  <c r="J10" i="114" s="1"/>
  <c r="F46" i="114"/>
  <c r="F47" i="114" s="1"/>
  <c r="J23" i="122"/>
  <c r="J18" i="122"/>
  <c r="J26" i="122"/>
  <c r="J13" i="122"/>
  <c r="J29" i="122"/>
  <c r="J7" i="122"/>
  <c r="J14" i="122"/>
  <c r="J9" i="122"/>
  <c r="P14" i="122"/>
  <c r="J25" i="122"/>
  <c r="I30" i="122"/>
  <c r="J30" i="122" s="1"/>
  <c r="I31" i="122"/>
  <c r="J31" i="122" s="1"/>
  <c r="I32" i="122"/>
  <c r="J32" i="122" s="1"/>
  <c r="M32" i="122" s="1"/>
  <c r="I33" i="122"/>
  <c r="J33" i="122" s="1"/>
  <c r="L6" i="122"/>
  <c r="L9" i="122"/>
  <c r="L11" i="122"/>
  <c r="L13" i="122"/>
  <c r="M13" i="122" s="1"/>
  <c r="L14" i="122"/>
  <c r="M14" i="122" s="1"/>
  <c r="L16" i="122"/>
  <c r="M16" i="122" s="1"/>
  <c r="P16" i="122" s="1"/>
  <c r="L17" i="122"/>
  <c r="L18" i="122"/>
  <c r="M18" i="122" s="1"/>
  <c r="P18" i="122" s="1"/>
  <c r="L19" i="122"/>
  <c r="L20" i="122"/>
  <c r="M20" i="122" s="1"/>
  <c r="P20" i="122" s="1"/>
  <c r="L21" i="122"/>
  <c r="L22" i="122"/>
  <c r="L23" i="122"/>
  <c r="L24" i="122"/>
  <c r="M24" i="122" s="1"/>
  <c r="P24" i="122" s="1"/>
  <c r="L25" i="122"/>
  <c r="L26" i="122"/>
  <c r="L27" i="122"/>
  <c r="M27" i="122" s="1"/>
  <c r="L28" i="122"/>
  <c r="M28" i="122" s="1"/>
  <c r="P28" i="122" s="1"/>
  <c r="L29" i="122"/>
  <c r="L30" i="122"/>
  <c r="L31" i="122"/>
  <c r="L33" i="122"/>
  <c r="L7" i="122"/>
  <c r="M7" i="122" s="1"/>
  <c r="P7" i="122" s="1"/>
  <c r="L8" i="122"/>
  <c r="L10" i="122"/>
  <c r="L12" i="122"/>
  <c r="M12" i="122" s="1"/>
  <c r="P12" i="122" s="1"/>
  <c r="L15" i="122"/>
  <c r="F46" i="119"/>
  <c r="F47" i="119" s="1"/>
  <c r="F71" i="119"/>
  <c r="F72" i="119" s="1"/>
  <c r="E40" i="84"/>
  <c r="E41" i="84" s="1"/>
  <c r="D85" i="120"/>
  <c r="D82" i="120"/>
  <c r="D88" i="120"/>
  <c r="D83" i="120"/>
  <c r="H80" i="120"/>
  <c r="D89" i="120"/>
  <c r="D86" i="120"/>
  <c r="G80" i="120"/>
  <c r="J80" i="120" s="1"/>
  <c r="L80" i="120" s="1"/>
  <c r="R80" i="120" s="1"/>
  <c r="R91" i="120" s="1"/>
  <c r="M80" i="120"/>
  <c r="N80" i="120" s="1"/>
  <c r="P80" i="120" s="1"/>
  <c r="D90" i="120"/>
  <c r="D84" i="120"/>
  <c r="D87" i="120"/>
  <c r="R67" i="120"/>
  <c r="R68" i="120" s="1"/>
  <c r="J93" i="120"/>
  <c r="J95" i="120"/>
  <c r="L95" i="120" s="1"/>
  <c r="R95" i="120" s="1"/>
  <c r="K82" i="120"/>
  <c r="K93" i="120"/>
  <c r="R99" i="120"/>
  <c r="R101" i="120" s="1"/>
  <c r="R100" i="120"/>
  <c r="J92" i="120"/>
  <c r="L92" i="120" s="1"/>
  <c r="R92" i="120" s="1"/>
  <c r="J94" i="120"/>
  <c r="L94" i="120" s="1"/>
  <c r="R94" i="120" s="1"/>
  <c r="M10" i="122" l="1"/>
  <c r="P10" i="122" s="1"/>
  <c r="M6" i="122"/>
  <c r="M31" i="122"/>
  <c r="P31" i="122" s="1"/>
  <c r="M23" i="122"/>
  <c r="P23" i="122" s="1"/>
  <c r="M8" i="122"/>
  <c r="P8" i="122" s="1"/>
  <c r="M30" i="122"/>
  <c r="P30" i="122" s="1"/>
  <c r="M26" i="122"/>
  <c r="P26" i="122" s="1"/>
  <c r="M22" i="122"/>
  <c r="P22" i="122" s="1"/>
  <c r="P13" i="122"/>
  <c r="J15" i="122"/>
  <c r="J22" i="114"/>
  <c r="M22" i="114" s="1"/>
  <c r="P22" i="114" s="1"/>
  <c r="M9" i="114"/>
  <c r="P9" i="114" s="1"/>
  <c r="M33" i="114"/>
  <c r="P19" i="114"/>
  <c r="J6" i="114"/>
  <c r="M6" i="114" s="1"/>
  <c r="P6" i="114" s="1"/>
  <c r="J26" i="114"/>
  <c r="J27" i="114"/>
  <c r="P27" i="122"/>
  <c r="M19" i="122"/>
  <c r="P19" i="122" s="1"/>
  <c r="M29" i="122"/>
  <c r="P29" i="122" s="1"/>
  <c r="M21" i="122"/>
  <c r="P21" i="122" s="1"/>
  <c r="M17" i="122"/>
  <c r="P17" i="122" s="1"/>
  <c r="M11" i="122"/>
  <c r="P11" i="122" s="1"/>
  <c r="P32" i="122"/>
  <c r="M10" i="114"/>
  <c r="P10" i="114" s="1"/>
  <c r="M14" i="114"/>
  <c r="P14" i="114" s="1"/>
  <c r="M18" i="114"/>
  <c r="M26" i="114"/>
  <c r="J9" i="114"/>
  <c r="J29" i="114"/>
  <c r="J17" i="114"/>
  <c r="M17" i="114" s="1"/>
  <c r="P17" i="114" s="1"/>
  <c r="J30" i="114"/>
  <c r="M30" i="114" s="1"/>
  <c r="P30" i="114" s="1"/>
  <c r="J28" i="114"/>
  <c r="P13" i="114"/>
  <c r="J15" i="114"/>
  <c r="M28" i="114"/>
  <c r="P28" i="114" s="1"/>
  <c r="J21" i="114"/>
  <c r="M21" i="114" s="1"/>
  <c r="P21" i="114" s="1"/>
  <c r="J8" i="114"/>
  <c r="J7" i="114"/>
  <c r="M11" i="114"/>
  <c r="P11" i="114" s="1"/>
  <c r="M27" i="114"/>
  <c r="P27" i="114" s="1"/>
  <c r="J16" i="114"/>
  <c r="M16" i="114" s="1"/>
  <c r="P16" i="114" s="1"/>
  <c r="M13" i="114"/>
  <c r="M29" i="114"/>
  <c r="P29" i="114" s="1"/>
  <c r="J25" i="114"/>
  <c r="M25" i="114" s="1"/>
  <c r="P25" i="114" s="1"/>
  <c r="J12" i="114"/>
  <c r="M12" i="114" s="1"/>
  <c r="P12" i="114" s="1"/>
  <c r="M7" i="114"/>
  <c r="P7" i="114" s="1"/>
  <c r="M15" i="114"/>
  <c r="P15" i="114" s="1"/>
  <c r="M23" i="114"/>
  <c r="P23" i="114" s="1"/>
  <c r="P33" i="114"/>
  <c r="J31" i="114"/>
  <c r="M31" i="114" s="1"/>
  <c r="P31" i="114" s="1"/>
  <c r="J20" i="114"/>
  <c r="M20" i="114" s="1"/>
  <c r="P20" i="114" s="1"/>
  <c r="M8" i="114"/>
  <c r="P8" i="114" s="1"/>
  <c r="P18" i="114"/>
  <c r="P26" i="114"/>
  <c r="J32" i="114"/>
  <c r="M32" i="114" s="1"/>
  <c r="P32" i="114" s="1"/>
  <c r="G34" i="114"/>
  <c r="J24" i="114"/>
  <c r="M24" i="114" s="1"/>
  <c r="P24" i="114" s="1"/>
  <c r="M25" i="122"/>
  <c r="P25" i="122" s="1"/>
  <c r="M33" i="122"/>
  <c r="P33" i="122" s="1"/>
  <c r="J34" i="122"/>
  <c r="P6" i="122"/>
  <c r="M15" i="122"/>
  <c r="P15" i="122" s="1"/>
  <c r="M9" i="122"/>
  <c r="P9" i="122" s="1"/>
  <c r="M82" i="120"/>
  <c r="N82" i="120" s="1"/>
  <c r="P82" i="120" s="1"/>
  <c r="H82" i="120"/>
  <c r="G82" i="120"/>
  <c r="J82" i="120" s="1"/>
  <c r="L82" i="120" s="1"/>
  <c r="R82" i="120" s="1"/>
  <c r="L93" i="120"/>
  <c r="R93" i="120" s="1"/>
  <c r="R97" i="120" s="1"/>
  <c r="R108" i="120" s="1"/>
  <c r="H86" i="120"/>
  <c r="G86" i="120"/>
  <c r="J86" i="120" s="1"/>
  <c r="L86" i="120" s="1"/>
  <c r="M86" i="120"/>
  <c r="N86" i="120" s="1"/>
  <c r="P86" i="120" s="1"/>
  <c r="H90" i="120"/>
  <c r="G90" i="120"/>
  <c r="M90" i="120"/>
  <c r="N90" i="120" s="1"/>
  <c r="P90" i="120" s="1"/>
  <c r="M85" i="120"/>
  <c r="N85" i="120" s="1"/>
  <c r="P85" i="120" s="1"/>
  <c r="H85" i="120"/>
  <c r="G85" i="120"/>
  <c r="H89" i="120"/>
  <c r="G89" i="120"/>
  <c r="J89" i="120" s="1"/>
  <c r="L89" i="120" s="1"/>
  <c r="M89" i="120"/>
  <c r="N89" i="120" s="1"/>
  <c r="P89" i="120" s="1"/>
  <c r="H87" i="120"/>
  <c r="G87" i="120"/>
  <c r="J87" i="120" s="1"/>
  <c r="L87" i="120" s="1"/>
  <c r="R87" i="120" s="1"/>
  <c r="M87" i="120"/>
  <c r="N87" i="120" s="1"/>
  <c r="P87" i="120" s="1"/>
  <c r="G83" i="120"/>
  <c r="M83" i="120"/>
  <c r="N83" i="120" s="1"/>
  <c r="P83" i="120" s="1"/>
  <c r="H83" i="120"/>
  <c r="H84" i="120"/>
  <c r="G84" i="120"/>
  <c r="M84" i="120"/>
  <c r="N84" i="120" s="1"/>
  <c r="P84" i="120" s="1"/>
  <c r="M88" i="120"/>
  <c r="N88" i="120" s="1"/>
  <c r="P88" i="120" s="1"/>
  <c r="H88" i="120"/>
  <c r="G88" i="120"/>
  <c r="J34" i="114" l="1"/>
  <c r="J88" i="120"/>
  <c r="L88" i="120" s="1"/>
  <c r="J90" i="120"/>
  <c r="L90" i="120" s="1"/>
  <c r="R90" i="120" s="1"/>
  <c r="M34" i="114"/>
  <c r="P34" i="114"/>
  <c r="P34" i="122"/>
  <c r="M34" i="122"/>
  <c r="R110" i="120"/>
  <c r="R109" i="120"/>
  <c r="R88" i="120"/>
  <c r="J83" i="120"/>
  <c r="L83" i="120" s="1"/>
  <c r="R83" i="120" s="1"/>
  <c r="R86" i="120"/>
  <c r="R89" i="120"/>
  <c r="J85" i="120"/>
  <c r="L85" i="120" s="1"/>
  <c r="R85" i="120" s="1"/>
  <c r="J84" i="120"/>
  <c r="L84" i="120" s="1"/>
  <c r="R84" i="120" s="1"/>
  <c r="E12" i="117" l="1"/>
  <c r="A80" i="117" l="1"/>
  <c r="A81" i="117" s="1"/>
  <c r="A82" i="117" s="1"/>
  <c r="A83" i="117" s="1"/>
  <c r="A84" i="117" s="1"/>
  <c r="A85" i="117" s="1"/>
  <c r="A86" i="117" s="1"/>
  <c r="A87" i="117" s="1"/>
  <c r="A88" i="117" s="1"/>
  <c r="A89" i="117" s="1"/>
  <c r="A74" i="117"/>
  <c r="A75" i="117" s="1"/>
  <c r="A76" i="117" s="1"/>
  <c r="A77" i="117" s="1"/>
  <c r="L37" i="117"/>
  <c r="F24" i="117"/>
  <c r="F23" i="117"/>
  <c r="F22" i="117"/>
  <c r="F21" i="117"/>
  <c r="E31" i="117"/>
  <c r="E10" i="117"/>
  <c r="D8" i="117"/>
  <c r="D6" i="117"/>
  <c r="G113" i="115" l="1"/>
  <c r="A113" i="115"/>
  <c r="S107" i="115"/>
  <c r="S106" i="115"/>
  <c r="S105" i="115"/>
  <c r="S104" i="115"/>
  <c r="L103" i="115"/>
  <c r="L102" i="115"/>
  <c r="L96" i="115"/>
  <c r="L95" i="115"/>
  <c r="F90" i="115"/>
  <c r="C90" i="115"/>
  <c r="L89" i="115"/>
  <c r="C89" i="115"/>
  <c r="L88" i="115"/>
  <c r="F88" i="115"/>
  <c r="L87" i="115"/>
  <c r="G87" i="115"/>
  <c r="L86" i="115"/>
  <c r="L85" i="115"/>
  <c r="L93" i="115" s="1"/>
  <c r="G85" i="115"/>
  <c r="F85" i="115"/>
  <c r="L84" i="115"/>
  <c r="G84" i="115"/>
  <c r="F84" i="115"/>
  <c r="L83" i="115"/>
  <c r="F83" i="115"/>
  <c r="C83" i="115"/>
  <c r="F82" i="115"/>
  <c r="C82" i="115"/>
  <c r="P80" i="115"/>
  <c r="P82" i="115" s="1"/>
  <c r="L80" i="115"/>
  <c r="L82" i="115" s="1"/>
  <c r="G80" i="115"/>
  <c r="F80" i="115"/>
  <c r="Q75" i="115"/>
  <c r="K96" i="115" s="1"/>
  <c r="M96" i="115" s="1"/>
  <c r="S96" i="115" s="1"/>
  <c r="N74" i="115"/>
  <c r="E80" i="115" s="1"/>
  <c r="H74" i="115"/>
  <c r="G90" i="115"/>
  <c r="P89" i="115"/>
  <c r="G89" i="115"/>
  <c r="F89" i="115"/>
  <c r="G88" i="115"/>
  <c r="P87" i="115"/>
  <c r="F87" i="115"/>
  <c r="P86" i="115"/>
  <c r="G86" i="115"/>
  <c r="F86" i="115"/>
  <c r="P85" i="115"/>
  <c r="G83" i="115"/>
  <c r="G82" i="115"/>
  <c r="K7" i="115"/>
  <c r="L90" i="115" l="1"/>
  <c r="K92" i="115"/>
  <c r="P84" i="115"/>
  <c r="K94" i="115"/>
  <c r="E87" i="115"/>
  <c r="E83" i="115"/>
  <c r="N80" i="115"/>
  <c r="O80" i="115" s="1"/>
  <c r="Q80" i="115" s="1"/>
  <c r="E90" i="115"/>
  <c r="E88" i="115"/>
  <c r="E84" i="115"/>
  <c r="E85" i="115"/>
  <c r="H80" i="115"/>
  <c r="E89" i="115"/>
  <c r="E82" i="115"/>
  <c r="E86" i="115"/>
  <c r="I80" i="115"/>
  <c r="L92" i="115"/>
  <c r="L94" i="115" s="1"/>
  <c r="P83" i="115"/>
  <c r="P88" i="115"/>
  <c r="K103" i="115"/>
  <c r="M103" i="115" s="1"/>
  <c r="S103" i="115" s="1"/>
  <c r="K102" i="115"/>
  <c r="M102" i="115" s="1"/>
  <c r="S102" i="115" s="1"/>
  <c r="S98" i="115"/>
  <c r="P90" i="115"/>
  <c r="K93" i="115"/>
  <c r="M93" i="115" s="1"/>
  <c r="S93" i="115" s="1"/>
  <c r="K95" i="115"/>
  <c r="M95" i="115" s="1"/>
  <c r="S95" i="115" s="1"/>
  <c r="S43" i="115" l="1"/>
  <c r="M94" i="115"/>
  <c r="S94" i="115" s="1"/>
  <c r="H39" i="81"/>
  <c r="K80" i="115"/>
  <c r="M80" i="115" s="1"/>
  <c r="S80" i="115" s="1"/>
  <c r="H90" i="115"/>
  <c r="N90" i="115"/>
  <c r="O90" i="115" s="1"/>
  <c r="Q90" i="115" s="1"/>
  <c r="I90" i="115"/>
  <c r="S99" i="115"/>
  <c r="S100" i="115"/>
  <c r="N86" i="115"/>
  <c r="O86" i="115" s="1"/>
  <c r="Q86" i="115" s="1"/>
  <c r="H86" i="115"/>
  <c r="I86" i="115"/>
  <c r="H85" i="115"/>
  <c r="I85" i="115"/>
  <c r="N85" i="115"/>
  <c r="O85" i="115" s="1"/>
  <c r="Q85" i="115" s="1"/>
  <c r="H82" i="115"/>
  <c r="N82" i="115"/>
  <c r="O82" i="115" s="1"/>
  <c r="Q82" i="115" s="1"/>
  <c r="I82" i="115"/>
  <c r="H84" i="115"/>
  <c r="N84" i="115"/>
  <c r="O84" i="115" s="1"/>
  <c r="Q84" i="115" s="1"/>
  <c r="I84" i="115"/>
  <c r="N83" i="115"/>
  <c r="O83" i="115" s="1"/>
  <c r="Q83" i="115" s="1"/>
  <c r="I83" i="115"/>
  <c r="H83" i="115"/>
  <c r="M92" i="115"/>
  <c r="S92" i="115" s="1"/>
  <c r="S97" i="115" s="1"/>
  <c r="I89" i="115"/>
  <c r="N89" i="115"/>
  <c r="O89" i="115" s="1"/>
  <c r="Q89" i="115" s="1"/>
  <c r="H89" i="115"/>
  <c r="H88" i="115"/>
  <c r="N88" i="115"/>
  <c r="O88" i="115" s="1"/>
  <c r="Q88" i="115" s="1"/>
  <c r="I88" i="115"/>
  <c r="N87" i="115"/>
  <c r="O87" i="115" s="1"/>
  <c r="Q87" i="115" s="1"/>
  <c r="I87" i="115"/>
  <c r="H87" i="115"/>
  <c r="K87" i="115" s="1"/>
  <c r="M87" i="115" s="1"/>
  <c r="S101" i="115" l="1"/>
  <c r="S87" i="115"/>
  <c r="K84" i="115"/>
  <c r="M84" i="115" s="1"/>
  <c r="S84" i="115" s="1"/>
  <c r="K86" i="115"/>
  <c r="M86" i="115" s="1"/>
  <c r="S86" i="115" s="1"/>
  <c r="K90" i="115"/>
  <c r="M90" i="115" s="1"/>
  <c r="S90" i="115" s="1"/>
  <c r="K88" i="115"/>
  <c r="M88" i="115" s="1"/>
  <c r="S88" i="115" s="1"/>
  <c r="H40" i="81"/>
  <c r="H41" i="81" s="1"/>
  <c r="K89" i="115"/>
  <c r="M89" i="115" s="1"/>
  <c r="S89" i="115" s="1"/>
  <c r="K85" i="115"/>
  <c r="M85" i="115" s="1"/>
  <c r="S85" i="115" s="1"/>
  <c r="S55" i="115"/>
  <c r="K83" i="115"/>
  <c r="M83" i="115" s="1"/>
  <c r="S83" i="115" s="1"/>
  <c r="K82" i="115"/>
  <c r="M82" i="115" s="1"/>
  <c r="S82" i="115" s="1"/>
  <c r="S91" i="115" l="1"/>
  <c r="S108" i="115" s="1"/>
  <c r="S109" i="115" s="1"/>
  <c r="S37" i="115"/>
  <c r="S59" i="115" s="1"/>
  <c r="S66" i="115" s="1"/>
  <c r="S110" i="115" l="1"/>
  <c r="S67" i="115"/>
  <c r="S68" i="115" s="1"/>
  <c r="C24" i="84" l="1"/>
  <c r="C9" i="84"/>
  <c r="E23" i="84"/>
  <c r="E22" i="84"/>
  <c r="E7" i="84"/>
  <c r="E8" i="84"/>
  <c r="E24" i="84" l="1"/>
  <c r="E25" i="84" l="1"/>
  <c r="E26" i="84" s="1"/>
  <c r="A71" i="62" l="1"/>
  <c r="G9" i="32" l="1"/>
  <c r="N74" i="14"/>
  <c r="K7" i="14"/>
  <c r="G10" i="48" l="1"/>
  <c r="F18" i="64"/>
  <c r="F17" i="64"/>
  <c r="F16" i="64"/>
  <c r="C18" i="64"/>
  <c r="Q75" i="14" l="1"/>
  <c r="F9" i="97" l="1"/>
  <c r="F10" i="97" s="1"/>
  <c r="F19" i="64"/>
  <c r="Q7" i="111" l="1"/>
  <c r="R7" i="111" s="1"/>
  <c r="S7" i="111" s="1"/>
  <c r="T7" i="111" s="1"/>
  <c r="U7" i="111" s="1"/>
  <c r="V7" i="111" s="1"/>
  <c r="W7" i="111" s="1"/>
  <c r="X7" i="111" s="1"/>
  <c r="Y7" i="111" s="1"/>
  <c r="Z7" i="111" s="1"/>
  <c r="AA7" i="111" s="1"/>
  <c r="AB7" i="111" s="1"/>
  <c r="AC7" i="111" s="1"/>
  <c r="AD7" i="111" s="1"/>
  <c r="AE7" i="111" s="1"/>
  <c r="AF7" i="111" s="1"/>
  <c r="AG7" i="111" s="1"/>
  <c r="AH7" i="111" s="1"/>
  <c r="AI7" i="111" s="1"/>
  <c r="L103" i="14" l="1"/>
  <c r="I4" i="64"/>
  <c r="S56" i="14"/>
  <c r="BX4" i="111" l="1"/>
  <c r="BW4" i="111" s="1"/>
  <c r="BV4" i="111" s="1"/>
  <c r="BU4" i="111" s="1"/>
  <c r="BT4" i="111" s="1"/>
  <c r="BS4" i="111" s="1"/>
  <c r="BR4" i="111" s="1"/>
  <c r="BQ4" i="111" s="1"/>
  <c r="BP4" i="111" s="1"/>
  <c r="BO4" i="111" s="1"/>
  <c r="BN4" i="111" s="1"/>
  <c r="B96" i="111"/>
  <c r="B95" i="111"/>
  <c r="B94" i="111"/>
  <c r="B93" i="111"/>
  <c r="B92" i="111"/>
  <c r="R90" i="111"/>
  <c r="P90" i="111"/>
  <c r="O90" i="111"/>
  <c r="N90" i="111"/>
  <c r="M90" i="111"/>
  <c r="L90" i="111"/>
  <c r="K90" i="111"/>
  <c r="J90" i="111"/>
  <c r="I90" i="111"/>
  <c r="H90" i="111"/>
  <c r="G90" i="111"/>
  <c r="C88" i="111"/>
  <c r="D82" i="111" s="1"/>
  <c r="D77" i="111"/>
  <c r="D67" i="111"/>
  <c r="D62" i="111"/>
  <c r="D58" i="111"/>
  <c r="D57" i="111"/>
  <c r="D55" i="111"/>
  <c r="BY51" i="111"/>
  <c r="BZ51" i="111" s="1"/>
  <c r="CA51" i="111" s="1"/>
  <c r="CB51" i="111" s="1"/>
  <c r="CC51" i="111" s="1"/>
  <c r="CD51" i="111" s="1"/>
  <c r="CE51" i="111" s="1"/>
  <c r="CF51" i="111" s="1"/>
  <c r="CG51" i="111" s="1"/>
  <c r="CH51" i="111" s="1"/>
  <c r="CI51" i="111" s="1"/>
  <c r="CJ51" i="111" s="1"/>
  <c r="G51" i="111"/>
  <c r="H51" i="111" s="1"/>
  <c r="I51" i="111" s="1"/>
  <c r="J51" i="111" s="1"/>
  <c r="K51" i="111" s="1"/>
  <c r="L51" i="111" s="1"/>
  <c r="M51" i="111" s="1"/>
  <c r="N51" i="111" s="1"/>
  <c r="O51" i="111" s="1"/>
  <c r="P51" i="111" s="1"/>
  <c r="Q51" i="111" s="1"/>
  <c r="R51" i="111" s="1"/>
  <c r="S51" i="111" s="1"/>
  <c r="T51" i="111" s="1"/>
  <c r="U51" i="111" s="1"/>
  <c r="V51" i="111" s="1"/>
  <c r="W51" i="111" s="1"/>
  <c r="X51" i="111" s="1"/>
  <c r="Y51" i="111" s="1"/>
  <c r="Z51" i="111" s="1"/>
  <c r="AA51" i="111" s="1"/>
  <c r="AB51" i="111" s="1"/>
  <c r="AC51" i="111" s="1"/>
  <c r="AD51" i="111" s="1"/>
  <c r="AE51" i="111" s="1"/>
  <c r="AF51" i="111" s="1"/>
  <c r="AG51" i="111" s="1"/>
  <c r="AH51" i="111" s="1"/>
  <c r="AI51" i="111" s="1"/>
  <c r="BY50" i="111"/>
  <c r="BZ50" i="111" s="1"/>
  <c r="CA50" i="111" s="1"/>
  <c r="CB50" i="111" s="1"/>
  <c r="CC50" i="111" s="1"/>
  <c r="CD50" i="111" s="1"/>
  <c r="CE50" i="111" s="1"/>
  <c r="CF50" i="111" s="1"/>
  <c r="CG50" i="111" s="1"/>
  <c r="CH50" i="111" s="1"/>
  <c r="CI50" i="111" s="1"/>
  <c r="CJ50" i="111" s="1"/>
  <c r="B47" i="111"/>
  <c r="B46" i="111"/>
  <c r="B45" i="111"/>
  <c r="B44" i="111"/>
  <c r="B43" i="111"/>
  <c r="C40" i="111"/>
  <c r="D37" i="111" s="1"/>
  <c r="D38" i="111"/>
  <c r="D34" i="111"/>
  <c r="D26" i="111"/>
  <c r="D19" i="111"/>
  <c r="D18" i="111"/>
  <c r="D14" i="111"/>
  <c r="D11" i="111"/>
  <c r="D10" i="111"/>
  <c r="AS5" i="111"/>
  <c r="AT5" i="111" s="1"/>
  <c r="AU5" i="111" s="1"/>
  <c r="AV5" i="111" s="1"/>
  <c r="AW5" i="111" s="1"/>
  <c r="AX5" i="111" s="1"/>
  <c r="AY5" i="111" s="1"/>
  <c r="AZ5" i="111" s="1"/>
  <c r="BA5" i="111" s="1"/>
  <c r="BB5" i="111" s="1"/>
  <c r="BC5" i="111" s="1"/>
  <c r="BD5" i="111" s="1"/>
  <c r="BE5" i="111" s="1"/>
  <c r="BF5" i="111" s="1"/>
  <c r="BG5" i="111" s="1"/>
  <c r="BH5" i="111" s="1"/>
  <c r="BI5" i="111" s="1"/>
  <c r="BJ5" i="111" s="1"/>
  <c r="BK5" i="111" s="1"/>
  <c r="BL5" i="111" s="1"/>
  <c r="BM5" i="111" s="1"/>
  <c r="BN5" i="111" s="1"/>
  <c r="BO5" i="111" s="1"/>
  <c r="BP5" i="111" s="1"/>
  <c r="BQ5" i="111" s="1"/>
  <c r="BR5" i="111" s="1"/>
  <c r="BS5" i="111" s="1"/>
  <c r="BT5" i="111" s="1"/>
  <c r="BU5" i="111" s="1"/>
  <c r="BV5" i="111" s="1"/>
  <c r="BW5" i="111" s="1"/>
  <c r="BX5" i="111" s="1"/>
  <c r="D70" i="111" l="1"/>
  <c r="D79" i="111"/>
  <c r="D66" i="111"/>
  <c r="D73" i="111"/>
  <c r="D81" i="111"/>
  <c r="D15" i="111"/>
  <c r="D30" i="111"/>
  <c r="D59" i="111"/>
  <c r="D69" i="111"/>
  <c r="D78" i="111"/>
  <c r="D61" i="111"/>
  <c r="D71" i="111"/>
  <c r="D83" i="111"/>
  <c r="D22" i="111"/>
  <c r="D53" i="111"/>
  <c r="D63" i="111"/>
  <c r="D74" i="111"/>
  <c r="D23" i="111"/>
  <c r="D54" i="111"/>
  <c r="D65" i="111"/>
  <c r="D75" i="111"/>
  <c r="D56" i="111"/>
  <c r="D60" i="111"/>
  <c r="D64" i="111"/>
  <c r="D68" i="111"/>
  <c r="D72" i="111"/>
  <c r="D76" i="111"/>
  <c r="D80" i="111"/>
  <c r="BY4" i="111"/>
  <c r="BZ4" i="111" s="1"/>
  <c r="CA4" i="111" s="1"/>
  <c r="CB4" i="111" s="1"/>
  <c r="CC4" i="111" s="1"/>
  <c r="CD4" i="111" s="1"/>
  <c r="CE4" i="111" s="1"/>
  <c r="CF4" i="111" s="1"/>
  <c r="CG4" i="111" s="1"/>
  <c r="CH4" i="111" s="1"/>
  <c r="CI4" i="111" s="1"/>
  <c r="CJ4" i="111" s="1"/>
  <c r="BY5" i="111"/>
  <c r="BZ5" i="111" s="1"/>
  <c r="CA5" i="111" s="1"/>
  <c r="CB5" i="111" s="1"/>
  <c r="CC5" i="111" s="1"/>
  <c r="CD5" i="111" s="1"/>
  <c r="CE5" i="111" s="1"/>
  <c r="CF5" i="111" s="1"/>
  <c r="CG5" i="111" s="1"/>
  <c r="CH5" i="111" s="1"/>
  <c r="CI5" i="111" s="1"/>
  <c r="CJ5" i="111" s="1"/>
  <c r="BM4" i="111"/>
  <c r="BK4" i="111" s="1"/>
  <c r="BL4" i="111"/>
  <c r="BJ4" i="111" s="1"/>
  <c r="BI4" i="111" s="1"/>
  <c r="BH4" i="111" s="1"/>
  <c r="BG4" i="111" s="1"/>
  <c r="BF4" i="111" s="1"/>
  <c r="BE4" i="111" s="1"/>
  <c r="BD4" i="111" s="1"/>
  <c r="BC4" i="111" s="1"/>
  <c r="BB4" i="111" s="1"/>
  <c r="BA4" i="111" s="1"/>
  <c r="AZ4" i="111" s="1"/>
  <c r="AY4" i="111" s="1"/>
  <c r="AX4" i="111" s="1"/>
  <c r="AW4" i="111" s="1"/>
  <c r="AV4" i="111" s="1"/>
  <c r="AU4" i="111" s="1"/>
  <c r="AT4" i="111" s="1"/>
  <c r="AS4" i="111" s="1"/>
  <c r="AR4" i="111" s="1"/>
  <c r="AQ4" i="111" s="1"/>
  <c r="AP4" i="111" s="1"/>
  <c r="AO4" i="111" s="1"/>
  <c r="AN4" i="111" s="1"/>
  <c r="AM4" i="111" s="1"/>
  <c r="AL4" i="111" s="1"/>
  <c r="AK4" i="111" s="1"/>
  <c r="AJ4" i="111" s="1"/>
  <c r="AI4" i="111" s="1"/>
  <c r="D27" i="111"/>
  <c r="D31" i="111"/>
  <c r="D35" i="111"/>
  <c r="D12" i="111"/>
  <c r="D16" i="111"/>
  <c r="D20" i="111"/>
  <c r="D24" i="111"/>
  <c r="D28" i="111"/>
  <c r="D32" i="111"/>
  <c r="D36" i="111"/>
  <c r="D9" i="111"/>
  <c r="D13" i="111"/>
  <c r="D17" i="111"/>
  <c r="D21" i="111"/>
  <c r="D25" i="111"/>
  <c r="D29" i="111"/>
  <c r="D33" i="111"/>
  <c r="D88" i="111" l="1"/>
  <c r="AH4" i="111"/>
  <c r="AG4" i="111" s="1"/>
  <c r="AF4" i="111" s="1"/>
  <c r="AE4" i="111" s="1"/>
  <c r="AD4" i="111" s="1"/>
  <c r="AC4" i="111" s="1"/>
  <c r="AB4" i="111" s="1"/>
  <c r="AA4" i="111" s="1"/>
  <c r="Z4" i="111" s="1"/>
  <c r="Y4" i="111" s="1"/>
  <c r="X4" i="111" s="1"/>
  <c r="W4" i="111" s="1"/>
  <c r="V4" i="111" s="1"/>
  <c r="U4" i="111" s="1"/>
  <c r="T4" i="111" s="1"/>
  <c r="S4" i="111" s="1"/>
  <c r="R4" i="111" s="1"/>
  <c r="Q4" i="111" s="1"/>
  <c r="P4" i="111" s="1"/>
  <c r="O4" i="111" s="1"/>
  <c r="N4" i="111" s="1"/>
  <c r="M4" i="111" s="1"/>
  <c r="L4" i="111" s="1"/>
  <c r="K4" i="111" s="1"/>
  <c r="J4" i="111" s="1"/>
  <c r="I4" i="111" s="1"/>
  <c r="H4" i="111" s="1"/>
  <c r="G4" i="111" s="1"/>
  <c r="F4" i="111" s="1"/>
  <c r="D40" i="111"/>
  <c r="S16" i="14" l="1"/>
  <c r="E18" i="37"/>
  <c r="H134" i="110" l="1"/>
  <c r="H133" i="110"/>
  <c r="L133" i="110" s="1"/>
  <c r="H132" i="110"/>
  <c r="L132" i="110" s="1"/>
  <c r="H131" i="110"/>
  <c r="K131" i="110" s="1"/>
  <c r="H130" i="110"/>
  <c r="K130" i="110" s="1"/>
  <c r="H129" i="110"/>
  <c r="K129" i="110" s="1"/>
  <c r="H128" i="110"/>
  <c r="K128" i="110" s="1"/>
  <c r="H127" i="110"/>
  <c r="K127" i="110" s="1"/>
  <c r="H126" i="110"/>
  <c r="K126" i="110" s="1"/>
  <c r="H125" i="110"/>
  <c r="K125" i="110" s="1"/>
  <c r="H124" i="110"/>
  <c r="K124" i="110" s="1"/>
  <c r="H123" i="110"/>
  <c r="K123" i="110" s="1"/>
  <c r="H122" i="110"/>
  <c r="K122" i="110" s="1"/>
  <c r="H121" i="110"/>
  <c r="K121" i="110" s="1"/>
  <c r="H120" i="110"/>
  <c r="K120" i="110" s="1"/>
  <c r="H119" i="110"/>
  <c r="K119" i="110" s="1"/>
  <c r="H118" i="110"/>
  <c r="K118" i="110" s="1"/>
  <c r="H117" i="110"/>
  <c r="K117" i="110" s="1"/>
  <c r="H116" i="110"/>
  <c r="K116" i="110" s="1"/>
  <c r="H115" i="110"/>
  <c r="K115" i="110" s="1"/>
  <c r="H114" i="110"/>
  <c r="K114" i="110" s="1"/>
  <c r="H113" i="110"/>
  <c r="K113" i="110" s="1"/>
  <c r="H112" i="110"/>
  <c r="K112" i="110" s="1"/>
  <c r="H111" i="110"/>
  <c r="K111" i="110" s="1"/>
  <c r="H110" i="110"/>
  <c r="K110" i="110" s="1"/>
  <c r="K109" i="110"/>
  <c r="H109" i="110"/>
  <c r="H108" i="110"/>
  <c r="K108" i="110" s="1"/>
  <c r="H107" i="110"/>
  <c r="K107" i="110" s="1"/>
  <c r="H106" i="110"/>
  <c r="K106" i="110" s="1"/>
  <c r="H105" i="110"/>
  <c r="K105" i="110" s="1"/>
  <c r="H104" i="110"/>
  <c r="K104" i="110" s="1"/>
  <c r="H103" i="110"/>
  <c r="K103" i="110" s="1"/>
  <c r="H102" i="110"/>
  <c r="K102" i="110" s="1"/>
  <c r="H101" i="110"/>
  <c r="K101" i="110" s="1"/>
  <c r="H100" i="110"/>
  <c r="K100" i="110" s="1"/>
  <c r="H99" i="110"/>
  <c r="K99" i="110" s="1"/>
  <c r="K98" i="110"/>
  <c r="H98" i="110"/>
  <c r="H97" i="110"/>
  <c r="K97" i="110" s="1"/>
  <c r="H96" i="110"/>
  <c r="K96" i="110" s="1"/>
  <c r="H95" i="110"/>
  <c r="K95" i="110" s="1"/>
  <c r="H94" i="110"/>
  <c r="K94" i="110" s="1"/>
  <c r="H93" i="110"/>
  <c r="K93" i="110" s="1"/>
  <c r="H92" i="110"/>
  <c r="K92" i="110" s="1"/>
  <c r="H91" i="110"/>
  <c r="K91" i="110" s="1"/>
  <c r="H90" i="110"/>
  <c r="L90" i="110" s="1"/>
  <c r="H89" i="110"/>
  <c r="L89" i="110" s="1"/>
  <c r="H88" i="110"/>
  <c r="L88" i="110" s="1"/>
  <c r="H87" i="110"/>
  <c r="L87" i="110" s="1"/>
  <c r="H86" i="110"/>
  <c r="L86" i="110" s="1"/>
  <c r="H85" i="110"/>
  <c r="L85" i="110" s="1"/>
  <c r="H84" i="110"/>
  <c r="L84" i="110" s="1"/>
  <c r="H83" i="110"/>
  <c r="L83" i="110" s="1"/>
  <c r="H82" i="110"/>
  <c r="L82" i="110" s="1"/>
  <c r="H81" i="110"/>
  <c r="L81" i="110" s="1"/>
  <c r="H80" i="110"/>
  <c r="L80" i="110" s="1"/>
  <c r="H79" i="110"/>
  <c r="L79" i="110" s="1"/>
  <c r="H78" i="110"/>
  <c r="K78" i="110" s="1"/>
  <c r="H77" i="110"/>
  <c r="K77" i="110" s="1"/>
  <c r="H76" i="110"/>
  <c r="K76" i="110" s="1"/>
  <c r="H75" i="110"/>
  <c r="K75" i="110" s="1"/>
  <c r="H74" i="110"/>
  <c r="K74" i="110" s="1"/>
  <c r="H73" i="110"/>
  <c r="K73" i="110" s="1"/>
  <c r="H72" i="110"/>
  <c r="K72" i="110" s="1"/>
  <c r="H71" i="110"/>
  <c r="K71" i="110" s="1"/>
  <c r="H70" i="110"/>
  <c r="K70" i="110" s="1"/>
  <c r="H69" i="110"/>
  <c r="K69" i="110" s="1"/>
  <c r="H68" i="110"/>
  <c r="K68" i="110" s="1"/>
  <c r="H67" i="110"/>
  <c r="K67" i="110" s="1"/>
  <c r="H66" i="110"/>
  <c r="K66" i="110" s="1"/>
  <c r="H65" i="110"/>
  <c r="K65" i="110" s="1"/>
  <c r="H64" i="110"/>
  <c r="K64" i="110" s="1"/>
  <c r="H63" i="110"/>
  <c r="K63" i="110" s="1"/>
  <c r="H62" i="110"/>
  <c r="K62" i="110" s="1"/>
  <c r="H61" i="110"/>
  <c r="K61" i="110" s="1"/>
  <c r="H60" i="110"/>
  <c r="K60" i="110" s="1"/>
  <c r="H59" i="110"/>
  <c r="K59" i="110" s="1"/>
  <c r="H58" i="110"/>
  <c r="K58" i="110" s="1"/>
  <c r="H57" i="110"/>
  <c r="K57" i="110" s="1"/>
  <c r="H56" i="110"/>
  <c r="K56" i="110" s="1"/>
  <c r="H55" i="110"/>
  <c r="K55" i="110" s="1"/>
  <c r="H54" i="110"/>
  <c r="K54" i="110" s="1"/>
  <c r="H53" i="110"/>
  <c r="K53" i="110" s="1"/>
  <c r="H52" i="110"/>
  <c r="K52" i="110" s="1"/>
  <c r="H51" i="110"/>
  <c r="K51" i="110" s="1"/>
  <c r="H50" i="110"/>
  <c r="K50" i="110" s="1"/>
  <c r="H49" i="110"/>
  <c r="K49" i="110" s="1"/>
  <c r="H48" i="110"/>
  <c r="K48" i="110" s="1"/>
  <c r="H47" i="110"/>
  <c r="K47" i="110" s="1"/>
  <c r="H46" i="110"/>
  <c r="K46" i="110" s="1"/>
  <c r="H45" i="110"/>
  <c r="K45" i="110" s="1"/>
  <c r="H44" i="110"/>
  <c r="L44" i="110" s="1"/>
  <c r="H43" i="110"/>
  <c r="L43" i="110" s="1"/>
  <c r="H42" i="110"/>
  <c r="L42" i="110" s="1"/>
  <c r="H41" i="110"/>
  <c r="L41" i="110" s="1"/>
  <c r="H40" i="110"/>
  <c r="L40" i="110" s="1"/>
  <c r="H39" i="110"/>
  <c r="L39" i="110" s="1"/>
  <c r="H38" i="110"/>
  <c r="L38" i="110" s="1"/>
  <c r="H37" i="110"/>
  <c r="L37" i="110" s="1"/>
  <c r="H36" i="110"/>
  <c r="L36" i="110" s="1"/>
  <c r="H35" i="110"/>
  <c r="L35" i="110" s="1"/>
  <c r="H34" i="110"/>
  <c r="L34" i="110" s="1"/>
  <c r="H33" i="110"/>
  <c r="L33" i="110" s="1"/>
  <c r="H32" i="110"/>
  <c r="K32" i="110" s="1"/>
  <c r="H31" i="110"/>
  <c r="K31" i="110" s="1"/>
  <c r="H30" i="110"/>
  <c r="K30" i="110" s="1"/>
  <c r="H29" i="110"/>
  <c r="K29" i="110" s="1"/>
  <c r="H28" i="110"/>
  <c r="K28" i="110" s="1"/>
  <c r="H27" i="110"/>
  <c r="K27" i="110" s="1"/>
  <c r="H26" i="110"/>
  <c r="K26" i="110" s="1"/>
  <c r="H25" i="110"/>
  <c r="K25" i="110" s="1"/>
  <c r="H24" i="110"/>
  <c r="K24" i="110" s="1"/>
  <c r="H23" i="110"/>
  <c r="K23" i="110" s="1"/>
  <c r="H22" i="110"/>
  <c r="K22" i="110" s="1"/>
  <c r="H21" i="110"/>
  <c r="K21" i="110" s="1"/>
  <c r="H20" i="110"/>
  <c r="K20" i="110" s="1"/>
  <c r="H19" i="110"/>
  <c r="K19" i="110" s="1"/>
  <c r="H18" i="110"/>
  <c r="K18" i="110" s="1"/>
  <c r="H17" i="110"/>
  <c r="K17" i="110" s="1"/>
  <c r="H16" i="110"/>
  <c r="K16" i="110" s="1"/>
  <c r="H15" i="110"/>
  <c r="L15" i="110" s="1"/>
  <c r="H14" i="110"/>
  <c r="H13" i="110"/>
  <c r="H12" i="110"/>
  <c r="H11" i="110"/>
  <c r="H10" i="110"/>
  <c r="H9" i="110"/>
  <c r="H8" i="110"/>
  <c r="H7" i="110"/>
  <c r="H6" i="110"/>
  <c r="A6" i="110"/>
  <c r="A7" i="110" s="1"/>
  <c r="A8" i="110" s="1"/>
  <c r="A9" i="110" s="1"/>
  <c r="A10" i="110" s="1"/>
  <c r="A11" i="110" s="1"/>
  <c r="A12" i="110" s="1"/>
  <c r="A13" i="110" s="1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A42" i="110" s="1"/>
  <c r="A43" i="110" s="1"/>
  <c r="A44" i="110" s="1"/>
  <c r="A45" i="110" s="1"/>
  <c r="A46" i="110" s="1"/>
  <c r="A47" i="110" s="1"/>
  <c r="A48" i="110" s="1"/>
  <c r="H5" i="110"/>
  <c r="J5" i="110" s="1"/>
  <c r="J6" i="110" s="1"/>
  <c r="J7" i="110" s="1"/>
  <c r="J8" i="110" s="1"/>
  <c r="J9" i="110" s="1"/>
  <c r="J10" i="110" s="1"/>
  <c r="J11" i="110" s="1"/>
  <c r="J12" i="110" s="1"/>
  <c r="J13" i="110" s="1"/>
  <c r="J14" i="110" s="1"/>
  <c r="J15" i="110" s="1"/>
  <c r="J16" i="110" s="1"/>
  <c r="J17" i="110" s="1"/>
  <c r="J18" i="110" s="1"/>
  <c r="J19" i="110" s="1"/>
  <c r="J20" i="110" s="1"/>
  <c r="J21" i="110" s="1"/>
  <c r="J22" i="110" s="1"/>
  <c r="J23" i="110" s="1"/>
  <c r="J24" i="110" s="1"/>
  <c r="J25" i="110" s="1"/>
  <c r="J26" i="110" s="1"/>
  <c r="J27" i="110" s="1"/>
  <c r="J28" i="110" s="1"/>
  <c r="J29" i="110" s="1"/>
  <c r="J30" i="110" s="1"/>
  <c r="J31" i="110" s="1"/>
  <c r="J32" i="110" s="1"/>
  <c r="J33" i="110" s="1"/>
  <c r="J34" i="110" s="1"/>
  <c r="J35" i="110" s="1"/>
  <c r="J36" i="110" s="1"/>
  <c r="J37" i="110" s="1"/>
  <c r="J38" i="110" s="1"/>
  <c r="J39" i="110" s="1"/>
  <c r="J40" i="110" s="1"/>
  <c r="J41" i="110" s="1"/>
  <c r="J42" i="110" s="1"/>
  <c r="J43" i="110" s="1"/>
  <c r="J44" i="110" s="1"/>
  <c r="J45" i="110" s="1"/>
  <c r="J46" i="110" s="1"/>
  <c r="J47" i="110" s="1"/>
  <c r="J48" i="110" s="1"/>
  <c r="J49" i="110" s="1"/>
  <c r="J50" i="110" s="1"/>
  <c r="J51" i="110" s="1"/>
  <c r="J52" i="110" s="1"/>
  <c r="J53" i="110" s="1"/>
  <c r="J54" i="110" s="1"/>
  <c r="J55" i="110" s="1"/>
  <c r="J56" i="110" s="1"/>
  <c r="J57" i="110" s="1"/>
  <c r="J58" i="110" s="1"/>
  <c r="J59" i="110" s="1"/>
  <c r="J60" i="110" s="1"/>
  <c r="J61" i="110" s="1"/>
  <c r="J62" i="110" s="1"/>
  <c r="J63" i="110" s="1"/>
  <c r="J64" i="110" s="1"/>
  <c r="J65" i="110" s="1"/>
  <c r="J66" i="110" s="1"/>
  <c r="J67" i="110" s="1"/>
  <c r="J68" i="110" s="1"/>
  <c r="J69" i="110" s="1"/>
  <c r="J70" i="110" s="1"/>
  <c r="J71" i="110" s="1"/>
  <c r="J72" i="110" s="1"/>
  <c r="J73" i="110" s="1"/>
  <c r="J74" i="110" s="1"/>
  <c r="J75" i="110" s="1"/>
  <c r="J76" i="110" s="1"/>
  <c r="J77" i="110" s="1"/>
  <c r="J78" i="110" s="1"/>
  <c r="J79" i="110" s="1"/>
  <c r="J80" i="110" s="1"/>
  <c r="J81" i="110" s="1"/>
  <c r="J82" i="110" s="1"/>
  <c r="J83" i="110" s="1"/>
  <c r="J84" i="110" s="1"/>
  <c r="J85" i="110" s="1"/>
  <c r="J86" i="110" s="1"/>
  <c r="J87" i="110" s="1"/>
  <c r="J88" i="110" s="1"/>
  <c r="J89" i="110" s="1"/>
  <c r="J90" i="110" s="1"/>
  <c r="J91" i="110" s="1"/>
  <c r="J92" i="110" s="1"/>
  <c r="J93" i="110" s="1"/>
  <c r="J94" i="110" s="1"/>
  <c r="J95" i="110" s="1"/>
  <c r="J96" i="110" s="1"/>
  <c r="J97" i="110" s="1"/>
  <c r="J98" i="110" s="1"/>
  <c r="J99" i="110" s="1"/>
  <c r="J100" i="110" s="1"/>
  <c r="J101" i="110" s="1"/>
  <c r="J102" i="110" s="1"/>
  <c r="J103" i="110" s="1"/>
  <c r="J104" i="110" s="1"/>
  <c r="J105" i="110" s="1"/>
  <c r="J106" i="110" s="1"/>
  <c r="J107" i="110" s="1"/>
  <c r="J108" i="110" s="1"/>
  <c r="J109" i="110" s="1"/>
  <c r="J110" i="110" s="1"/>
  <c r="J111" i="110" s="1"/>
  <c r="J112" i="110" s="1"/>
  <c r="J113" i="110" s="1"/>
  <c r="J114" i="110" s="1"/>
  <c r="J115" i="110" s="1"/>
  <c r="J116" i="110" s="1"/>
  <c r="J117" i="110" s="1"/>
  <c r="J118" i="110" s="1"/>
  <c r="J119" i="110" s="1"/>
  <c r="J120" i="110" s="1"/>
  <c r="J121" i="110" s="1"/>
  <c r="J122" i="110" s="1"/>
  <c r="J123" i="110" s="1"/>
  <c r="J124" i="110" s="1"/>
  <c r="J125" i="110" s="1"/>
  <c r="J126" i="110" s="1"/>
  <c r="J127" i="110" s="1"/>
  <c r="J128" i="110" s="1"/>
  <c r="J129" i="110" s="1"/>
  <c r="J130" i="110" s="1"/>
  <c r="J131" i="110" s="1"/>
  <c r="J132" i="110" s="1"/>
  <c r="J133" i="110" s="1"/>
  <c r="J134" i="110" s="1"/>
  <c r="J135" i="110" s="1"/>
  <c r="D137" i="110" s="1"/>
  <c r="F5" i="110"/>
  <c r="F6" i="110" s="1"/>
  <c r="K135" i="110" l="1"/>
  <c r="L135" i="110" s="1"/>
  <c r="I5" i="110"/>
  <c r="I6" i="110" s="1"/>
  <c r="I7" i="110" s="1"/>
  <c r="I8" i="110" s="1"/>
  <c r="I9" i="110" s="1"/>
  <c r="I10" i="110" s="1"/>
  <c r="I11" i="110" s="1"/>
  <c r="I12" i="110" s="1"/>
  <c r="I13" i="110" s="1"/>
  <c r="I14" i="110" s="1"/>
  <c r="I15" i="110" s="1"/>
  <c r="I16" i="110" s="1"/>
  <c r="I17" i="110" s="1"/>
  <c r="I18" i="110" s="1"/>
  <c r="I19" i="110" s="1"/>
  <c r="I20" i="110" s="1"/>
  <c r="I21" i="110" s="1"/>
  <c r="I22" i="110" s="1"/>
  <c r="I23" i="110" s="1"/>
  <c r="I24" i="110" s="1"/>
  <c r="I25" i="110" s="1"/>
  <c r="I26" i="110" s="1"/>
  <c r="I27" i="110" s="1"/>
  <c r="I28" i="110" s="1"/>
  <c r="I29" i="110" s="1"/>
  <c r="I30" i="110" s="1"/>
  <c r="I31" i="110" s="1"/>
  <c r="I32" i="110" s="1"/>
  <c r="I33" i="110" s="1"/>
  <c r="I34" i="110" s="1"/>
  <c r="I35" i="110" s="1"/>
  <c r="I36" i="110" s="1"/>
  <c r="I37" i="110" s="1"/>
  <c r="I38" i="110" s="1"/>
  <c r="I39" i="110" s="1"/>
  <c r="I40" i="110" s="1"/>
  <c r="I41" i="110" s="1"/>
  <c r="I42" i="110" s="1"/>
  <c r="I43" i="110" s="1"/>
  <c r="I44" i="110" s="1"/>
  <c r="I45" i="110" s="1"/>
  <c r="I46" i="110" s="1"/>
  <c r="I47" i="110" s="1"/>
  <c r="I48" i="110" s="1"/>
  <c r="I49" i="110" s="1"/>
  <c r="I50" i="110" s="1"/>
  <c r="I51" i="110" s="1"/>
  <c r="I52" i="110" s="1"/>
  <c r="I53" i="110" s="1"/>
  <c r="I54" i="110" s="1"/>
  <c r="I55" i="110" s="1"/>
  <c r="I56" i="110" s="1"/>
  <c r="I57" i="110" s="1"/>
  <c r="I58" i="110" s="1"/>
  <c r="I59" i="110" s="1"/>
  <c r="I60" i="110" s="1"/>
  <c r="I61" i="110" s="1"/>
  <c r="I62" i="110" s="1"/>
  <c r="I63" i="110" s="1"/>
  <c r="I64" i="110" s="1"/>
  <c r="I65" i="110" s="1"/>
  <c r="I66" i="110" s="1"/>
  <c r="I67" i="110" s="1"/>
  <c r="I68" i="110" s="1"/>
  <c r="I69" i="110" s="1"/>
  <c r="I70" i="110" s="1"/>
  <c r="I71" i="110" s="1"/>
  <c r="I72" i="110" s="1"/>
  <c r="I73" i="110" s="1"/>
  <c r="I74" i="110" s="1"/>
  <c r="I75" i="110" s="1"/>
  <c r="I76" i="110" s="1"/>
  <c r="I77" i="110" s="1"/>
  <c r="I78" i="110" s="1"/>
  <c r="I79" i="110" s="1"/>
  <c r="I80" i="110" s="1"/>
  <c r="I81" i="110" s="1"/>
  <c r="I82" i="110" s="1"/>
  <c r="I83" i="110" s="1"/>
  <c r="I84" i="110" s="1"/>
  <c r="I85" i="110" s="1"/>
  <c r="I86" i="110" s="1"/>
  <c r="I87" i="110" s="1"/>
  <c r="I88" i="110" s="1"/>
  <c r="I89" i="110" s="1"/>
  <c r="I90" i="110" s="1"/>
  <c r="I91" i="110" s="1"/>
  <c r="I92" i="110" s="1"/>
  <c r="I93" i="110" s="1"/>
  <c r="I94" i="110" s="1"/>
  <c r="I95" i="110" s="1"/>
  <c r="I96" i="110" s="1"/>
  <c r="I97" i="110" s="1"/>
  <c r="I98" i="110" s="1"/>
  <c r="I99" i="110" s="1"/>
  <c r="I100" i="110" s="1"/>
  <c r="I101" i="110" s="1"/>
  <c r="I102" i="110" s="1"/>
  <c r="I103" i="110" s="1"/>
  <c r="I104" i="110" s="1"/>
  <c r="I105" i="110" s="1"/>
  <c r="I106" i="110" s="1"/>
  <c r="I107" i="110" s="1"/>
  <c r="I108" i="110" s="1"/>
  <c r="I109" i="110" s="1"/>
  <c r="I110" i="110" s="1"/>
  <c r="I111" i="110" s="1"/>
  <c r="I112" i="110" s="1"/>
  <c r="I113" i="110" s="1"/>
  <c r="I114" i="110" s="1"/>
  <c r="I115" i="110" s="1"/>
  <c r="I116" i="110" s="1"/>
  <c r="I117" i="110" s="1"/>
  <c r="I118" i="110" s="1"/>
  <c r="I119" i="110" s="1"/>
  <c r="I120" i="110" s="1"/>
  <c r="I121" i="110" s="1"/>
  <c r="I122" i="110" s="1"/>
  <c r="I123" i="110" s="1"/>
  <c r="I124" i="110" s="1"/>
  <c r="I125" i="110" s="1"/>
  <c r="I126" i="110" s="1"/>
  <c r="I127" i="110" s="1"/>
  <c r="I128" i="110" s="1"/>
  <c r="I129" i="110" s="1"/>
  <c r="I130" i="110" s="1"/>
  <c r="I131" i="110" s="1"/>
  <c r="I132" i="110" s="1"/>
  <c r="I133" i="110" s="1"/>
  <c r="I134" i="110" s="1"/>
  <c r="I135" i="110" s="1"/>
  <c r="F7" i="110"/>
  <c r="F8" i="110" s="1"/>
  <c r="F9" i="110" s="1"/>
  <c r="F10" i="110" s="1"/>
  <c r="F11" i="110" s="1"/>
  <c r="F12" i="110" s="1"/>
  <c r="F13" i="110" s="1"/>
  <c r="F14" i="110" s="1"/>
  <c r="F15" i="110" s="1"/>
  <c r="F16" i="110" s="1"/>
  <c r="F17" i="110" s="1"/>
  <c r="F18" i="110" s="1"/>
  <c r="A49" i="110"/>
  <c r="A51" i="110" s="1"/>
  <c r="A52" i="110" s="1"/>
  <c r="A53" i="110" s="1"/>
  <c r="A54" i="110" s="1"/>
  <c r="A55" i="110" s="1"/>
  <c r="A56" i="110" s="1"/>
  <c r="A57" i="110" s="1"/>
  <c r="A58" i="110" s="1"/>
  <c r="A59" i="110" s="1"/>
  <c r="A60" i="110" s="1"/>
  <c r="A61" i="110" s="1"/>
  <c r="A62" i="110" s="1"/>
  <c r="A63" i="110" s="1"/>
  <c r="A64" i="110" s="1"/>
  <c r="A65" i="110" s="1"/>
  <c r="A66" i="110" s="1"/>
  <c r="A67" i="110" s="1"/>
  <c r="A68" i="110" s="1"/>
  <c r="A69" i="110" s="1"/>
  <c r="A70" i="110" s="1"/>
  <c r="A71" i="110" s="1"/>
  <c r="A72" i="110" s="1"/>
  <c r="A73" i="110" s="1"/>
  <c r="A74" i="110" s="1"/>
  <c r="A75" i="110" s="1"/>
  <c r="A76" i="110" s="1"/>
  <c r="A77" i="110" s="1"/>
  <c r="A78" i="110" s="1"/>
  <c r="A79" i="110" s="1"/>
  <c r="A80" i="110" s="1"/>
  <c r="A81" i="110" s="1"/>
  <c r="A82" i="110" s="1"/>
  <c r="A83" i="110" s="1"/>
  <c r="A84" i="110" s="1"/>
  <c r="A85" i="110" s="1"/>
  <c r="A86" i="110" s="1"/>
  <c r="A87" i="110" s="1"/>
  <c r="A88" i="110" s="1"/>
  <c r="A89" i="110" s="1"/>
  <c r="A90" i="110" s="1"/>
  <c r="A91" i="110" s="1"/>
  <c r="A92" i="110" s="1"/>
  <c r="A93" i="110" s="1"/>
  <c r="A94" i="110" s="1"/>
  <c r="A95" i="110" s="1"/>
  <c r="A96" i="110" s="1"/>
  <c r="A97" i="110" s="1"/>
  <c r="A98" i="110" s="1"/>
  <c r="A99" i="110" s="1"/>
  <c r="A100" i="110" s="1"/>
  <c r="A101" i="110" s="1"/>
  <c r="A102" i="110" s="1"/>
  <c r="A103" i="110" s="1"/>
  <c r="A104" i="110" s="1"/>
  <c r="A105" i="110" s="1"/>
  <c r="A106" i="110" s="1"/>
  <c r="A107" i="110" s="1"/>
  <c r="A108" i="110" s="1"/>
  <c r="A109" i="110" s="1"/>
  <c r="A110" i="110" s="1"/>
  <c r="A111" i="110" s="1"/>
  <c r="A112" i="110" s="1"/>
  <c r="A113" i="110" s="1"/>
  <c r="A114" i="110" s="1"/>
  <c r="A115" i="110" s="1"/>
  <c r="A116" i="110" s="1"/>
  <c r="A117" i="110" s="1"/>
  <c r="A118" i="110" s="1"/>
  <c r="A119" i="110" s="1"/>
  <c r="A120" i="110" s="1"/>
  <c r="A121" i="110" s="1"/>
  <c r="A122" i="110" s="1"/>
  <c r="A123" i="110" s="1"/>
  <c r="A124" i="110" s="1"/>
  <c r="A125" i="110" s="1"/>
  <c r="A126" i="110" s="1"/>
  <c r="A127" i="110" s="1"/>
  <c r="A128" i="110" s="1"/>
  <c r="A129" i="110" s="1"/>
  <c r="A130" i="110" s="1"/>
  <c r="A131" i="110" s="1"/>
  <c r="A132" i="110" s="1"/>
  <c r="A133" i="110" s="1"/>
  <c r="A134" i="110" s="1"/>
  <c r="A135" i="110" s="1"/>
  <c r="A50" i="110"/>
  <c r="C7" i="110" l="1"/>
  <c r="F19" i="110"/>
  <c r="F20" i="110" s="1"/>
  <c r="F21" i="110" l="1"/>
  <c r="F22" i="110" s="1"/>
  <c r="F23" i="110" s="1"/>
  <c r="F24" i="110" s="1"/>
  <c r="F25" i="110" s="1"/>
  <c r="C19" i="110"/>
  <c r="F26" i="110" l="1"/>
  <c r="F27" i="110" s="1"/>
  <c r="C21" i="110"/>
  <c r="F28" i="110" l="1"/>
  <c r="F29" i="110" s="1"/>
  <c r="F30" i="110" s="1"/>
  <c r="F31" i="110" s="1"/>
  <c r="F32" i="110" s="1"/>
  <c r="F33" i="110" s="1"/>
  <c r="F34" i="110" s="1"/>
  <c r="F35" i="110" s="1"/>
  <c r="F36" i="110" s="1"/>
  <c r="F37" i="110" s="1"/>
  <c r="F38" i="110" s="1"/>
  <c r="F39" i="110" s="1"/>
  <c r="F40" i="110" s="1"/>
  <c r="F41" i="110" s="1"/>
  <c r="F42" i="110" s="1"/>
  <c r="F43" i="110" s="1"/>
  <c r="F44" i="110" s="1"/>
  <c r="F45" i="110" s="1"/>
  <c r="F46" i="110" s="1"/>
  <c r="F47" i="110" s="1"/>
  <c r="F48" i="110" s="1"/>
  <c r="C26" i="110"/>
  <c r="F49" i="110" l="1"/>
  <c r="F50" i="110" s="1"/>
  <c r="F51" i="110" s="1"/>
  <c r="C28" i="110"/>
  <c r="H23" i="109"/>
  <c r="F37" i="109"/>
  <c r="G37" i="109" s="1"/>
  <c r="G36" i="109"/>
  <c r="G35" i="109"/>
  <c r="G34" i="109"/>
  <c r="G33" i="109"/>
  <c r="G32" i="109"/>
  <c r="G31" i="109"/>
  <c r="G30" i="109"/>
  <c r="G29" i="109"/>
  <c r="G28" i="109"/>
  <c r="G27" i="109"/>
  <c r="G26" i="109"/>
  <c r="G25" i="109"/>
  <c r="A25" i="109"/>
  <c r="A26" i="109" s="1"/>
  <c r="A27" i="109" s="1"/>
  <c r="A28" i="109" s="1"/>
  <c r="A29" i="109" s="1"/>
  <c r="A30" i="109" s="1"/>
  <c r="A31" i="109" s="1"/>
  <c r="A32" i="109" s="1"/>
  <c r="A33" i="109" s="1"/>
  <c r="A34" i="109" s="1"/>
  <c r="A35" i="109" s="1"/>
  <c r="A36" i="109" s="1"/>
  <c r="A37" i="109" s="1"/>
  <c r="G24" i="109"/>
  <c r="I24" i="109" s="1"/>
  <c r="I25" i="109" s="1"/>
  <c r="F18" i="109"/>
  <c r="G18" i="109" s="1"/>
  <c r="G17" i="109"/>
  <c r="G16" i="109"/>
  <c r="G15" i="109"/>
  <c r="G14" i="109"/>
  <c r="G13" i="109"/>
  <c r="G12" i="109"/>
  <c r="G11" i="109"/>
  <c r="G10" i="109"/>
  <c r="G9" i="109"/>
  <c r="G8" i="109"/>
  <c r="G7" i="109"/>
  <c r="G6" i="109"/>
  <c r="A6" i="109"/>
  <c r="A7" i="109" s="1"/>
  <c r="A8" i="109" s="1"/>
  <c r="A9" i="109" s="1"/>
  <c r="A10" i="109" s="1"/>
  <c r="A11" i="109" s="1"/>
  <c r="A12" i="109" s="1"/>
  <c r="A13" i="109" s="1"/>
  <c r="A14" i="109" s="1"/>
  <c r="A15" i="109" s="1"/>
  <c r="A16" i="109" s="1"/>
  <c r="A17" i="109" s="1"/>
  <c r="A18" i="109" s="1"/>
  <c r="G5" i="109"/>
  <c r="H5" i="109" s="1"/>
  <c r="C49" i="110" l="1"/>
  <c r="H6" i="109"/>
  <c r="H7" i="109" s="1"/>
  <c r="H8" i="109" s="1"/>
  <c r="H9" i="109" s="1"/>
  <c r="H10" i="109" s="1"/>
  <c r="H11" i="109" s="1"/>
  <c r="H12" i="109" s="1"/>
  <c r="H13" i="109" s="1"/>
  <c r="H14" i="109" s="1"/>
  <c r="H15" i="109" s="1"/>
  <c r="H16" i="109" s="1"/>
  <c r="H17" i="109" s="1"/>
  <c r="H18" i="109" s="1"/>
  <c r="I26" i="109"/>
  <c r="I27" i="109" s="1"/>
  <c r="I28" i="109" s="1"/>
  <c r="I29" i="109" s="1"/>
  <c r="I30" i="109" s="1"/>
  <c r="I31" i="109" s="1"/>
  <c r="I32" i="109" s="1"/>
  <c r="I33" i="109" s="1"/>
  <c r="I34" i="109" s="1"/>
  <c r="I35" i="109" s="1"/>
  <c r="I36" i="109" s="1"/>
  <c r="I37" i="109" s="1"/>
  <c r="I5" i="109"/>
  <c r="I6" i="109" s="1"/>
  <c r="I7" i="109" s="1"/>
  <c r="I8" i="109" s="1"/>
  <c r="I9" i="109" s="1"/>
  <c r="I10" i="109" s="1"/>
  <c r="I11" i="109" s="1"/>
  <c r="I12" i="109" s="1"/>
  <c r="I13" i="109" s="1"/>
  <c r="I14" i="109" s="1"/>
  <c r="I15" i="109" s="1"/>
  <c r="I16" i="109" s="1"/>
  <c r="I17" i="109" s="1"/>
  <c r="I18" i="109" s="1"/>
  <c r="F52" i="110"/>
  <c r="F53" i="110" s="1"/>
  <c r="F54" i="110" s="1"/>
  <c r="G38" i="109"/>
  <c r="H24" i="109"/>
  <c r="H25" i="109" s="1"/>
  <c r="H26" i="109" s="1"/>
  <c r="H27" i="109" s="1"/>
  <c r="H28" i="109" s="1"/>
  <c r="H29" i="109" s="1"/>
  <c r="H30" i="109" s="1"/>
  <c r="H31" i="109" s="1"/>
  <c r="H32" i="109" s="1"/>
  <c r="H33" i="109" s="1"/>
  <c r="H34" i="109" s="1"/>
  <c r="H35" i="109" s="1"/>
  <c r="H36" i="109" s="1"/>
  <c r="H37" i="109" s="1"/>
  <c r="G19" i="109"/>
  <c r="C52" i="110" l="1"/>
  <c r="F55" i="110"/>
  <c r="F56" i="110" s="1"/>
  <c r="F57" i="110" s="1"/>
  <c r="F58" i="110" s="1"/>
  <c r="F59" i="110" s="1"/>
  <c r="F60" i="110" s="1"/>
  <c r="C55" i="110" l="1"/>
  <c r="F61" i="110"/>
  <c r="F62" i="110" s="1"/>
  <c r="F63" i="110" s="1"/>
  <c r="F64" i="110" l="1"/>
  <c r="F65" i="110" s="1"/>
  <c r="F66" i="110" s="1"/>
  <c r="C61" i="110"/>
  <c r="F67" i="110" l="1"/>
  <c r="F68" i="110" s="1"/>
  <c r="F69" i="110" s="1"/>
  <c r="F70" i="110" s="1"/>
  <c r="F71" i="110" s="1"/>
  <c r="F72" i="110" s="1"/>
  <c r="C64" i="110"/>
  <c r="C67" i="110" l="1"/>
  <c r="F73" i="110"/>
  <c r="F74" i="110" s="1"/>
  <c r="F75" i="110" s="1"/>
  <c r="F76" i="110" s="1"/>
  <c r="F77" i="110" s="1"/>
  <c r="F78" i="110" s="1"/>
  <c r="F79" i="110" s="1"/>
  <c r="F80" i="110" s="1"/>
  <c r="F81" i="110" s="1"/>
  <c r="F82" i="110" s="1"/>
  <c r="F83" i="110" s="1"/>
  <c r="F84" i="110" s="1"/>
  <c r="F85" i="110" s="1"/>
  <c r="F86" i="110" s="1"/>
  <c r="F87" i="110" s="1"/>
  <c r="F88" i="110" s="1"/>
  <c r="F89" i="110" s="1"/>
  <c r="F90" i="110" s="1"/>
  <c r="F91" i="110" s="1"/>
  <c r="F92" i="110" s="1"/>
  <c r="F93" i="110" s="1"/>
  <c r="F94" i="110" s="1"/>
  <c r="F95" i="110" l="1"/>
  <c r="F96" i="110" s="1"/>
  <c r="C73" i="110"/>
  <c r="C95" i="110" l="1"/>
  <c r="F97" i="110"/>
  <c r="F98" i="110" s="1"/>
  <c r="F99" i="110" s="1"/>
  <c r="F100" i="110" s="1"/>
  <c r="F101" i="110" s="1"/>
  <c r="F102" i="110" s="1"/>
  <c r="C97" i="110" l="1"/>
  <c r="F103" i="110"/>
  <c r="F104" i="110" s="1"/>
  <c r="F105" i="110" s="1"/>
  <c r="F106" i="110" s="1"/>
  <c r="F107" i="110" s="1"/>
  <c r="F108" i="110" s="1"/>
  <c r="C103" i="110" l="1"/>
  <c r="F109" i="110"/>
  <c r="F110" i="110" s="1"/>
  <c r="F111" i="110" s="1"/>
  <c r="F112" i="110" s="1"/>
  <c r="F113" i="110" s="1"/>
  <c r="F114" i="110" s="1"/>
  <c r="F115" i="110" l="1"/>
  <c r="F116" i="110" s="1"/>
  <c r="F117" i="110" s="1"/>
  <c r="F118" i="110" s="1"/>
  <c r="F119" i="110" s="1"/>
  <c r="F120" i="110" s="1"/>
  <c r="C109" i="110"/>
  <c r="C115" i="110" l="1"/>
  <c r="F121" i="110"/>
  <c r="F122" i="110" s="1"/>
  <c r="F123" i="110" l="1"/>
  <c r="F124" i="110" s="1"/>
  <c r="F125" i="110" s="1"/>
  <c r="F126" i="110" s="1"/>
  <c r="F127" i="110" s="1"/>
  <c r="F128" i="110" s="1"/>
  <c r="C123" i="110"/>
  <c r="C121" i="110"/>
  <c r="F129" i="110" l="1"/>
  <c r="F130" i="110" s="1"/>
  <c r="F131" i="110" s="1"/>
  <c r="F132" i="110" s="1"/>
  <c r="F133" i="110" s="1"/>
  <c r="F134" i="110" s="1"/>
  <c r="C129" i="110" l="1"/>
  <c r="K102" i="107"/>
  <c r="J102" i="107"/>
  <c r="I102" i="107"/>
  <c r="H102" i="107"/>
  <c r="G102" i="107"/>
  <c r="F102" i="107"/>
  <c r="K101" i="107"/>
  <c r="J101" i="107"/>
  <c r="I101" i="107"/>
  <c r="H101" i="107"/>
  <c r="G101" i="107"/>
  <c r="F101" i="107"/>
  <c r="K96" i="107"/>
  <c r="J96" i="107"/>
  <c r="I96" i="107"/>
  <c r="H96" i="107"/>
  <c r="G96" i="107"/>
  <c r="F96" i="107"/>
  <c r="F94" i="107"/>
  <c r="K88" i="107"/>
  <c r="J88" i="107"/>
  <c r="I88" i="107"/>
  <c r="H88" i="107"/>
  <c r="G88" i="107"/>
  <c r="F88" i="107"/>
  <c r="K87" i="107"/>
  <c r="J87" i="107"/>
  <c r="I87" i="107"/>
  <c r="H87" i="107"/>
  <c r="G87" i="107"/>
  <c r="F87" i="107"/>
  <c r="K86" i="107"/>
  <c r="I86" i="107"/>
  <c r="K85" i="107"/>
  <c r="J85" i="107"/>
  <c r="I85" i="107"/>
  <c r="H85" i="107"/>
  <c r="G85" i="107"/>
  <c r="F85" i="107"/>
  <c r="I84" i="107"/>
  <c r="K70" i="107"/>
  <c r="J70" i="107"/>
  <c r="I70" i="107"/>
  <c r="H70" i="107"/>
  <c r="G70" i="107"/>
  <c r="F70" i="107"/>
  <c r="K60" i="107"/>
  <c r="I60" i="107"/>
  <c r="I64" i="107" s="1"/>
  <c r="F60" i="107"/>
  <c r="F62" i="107" s="1"/>
  <c r="K53" i="107"/>
  <c r="K83" i="107" s="1"/>
  <c r="K82" i="107" s="1"/>
  <c r="K81" i="107" s="1"/>
  <c r="J53" i="107"/>
  <c r="J83" i="107" s="1"/>
  <c r="J82" i="107" s="1"/>
  <c r="J81" i="107" s="1"/>
  <c r="I53" i="107"/>
  <c r="I83" i="107" s="1"/>
  <c r="I82" i="107" s="1"/>
  <c r="I81" i="107" s="1"/>
  <c r="H53" i="107"/>
  <c r="G53" i="107"/>
  <c r="G83" i="107" s="1"/>
  <c r="G82" i="107" s="1"/>
  <c r="G81" i="107" s="1"/>
  <c r="F53" i="107"/>
  <c r="F83" i="107" s="1"/>
  <c r="F82" i="107" s="1"/>
  <c r="F81" i="107" s="1"/>
  <c r="J28" i="107"/>
  <c r="H28" i="107"/>
  <c r="G28" i="107"/>
  <c r="G60" i="107" s="1"/>
  <c r="K24" i="107"/>
  <c r="K90" i="107" s="1"/>
  <c r="J24" i="107"/>
  <c r="I24" i="107"/>
  <c r="I90" i="107" s="1"/>
  <c r="H24" i="107"/>
  <c r="H20" i="107" s="1"/>
  <c r="G24" i="107"/>
  <c r="G90" i="107" s="1"/>
  <c r="F24" i="107"/>
  <c r="J16" i="107"/>
  <c r="H16" i="107"/>
  <c r="H86" i="107" s="1"/>
  <c r="L12" i="107"/>
  <c r="L28" i="107" l="1"/>
  <c r="H90" i="107"/>
  <c r="J60" i="107"/>
  <c r="J62" i="107" s="1"/>
  <c r="I63" i="107"/>
  <c r="G68" i="107"/>
  <c r="I68" i="107"/>
  <c r="K68" i="107" s="1"/>
  <c r="I20" i="107"/>
  <c r="J64" i="107"/>
  <c r="J63" i="107"/>
  <c r="H68" i="107"/>
  <c r="H83" i="107"/>
  <c r="H82" i="107" s="1"/>
  <c r="H81" i="107" s="1"/>
  <c r="F63" i="107"/>
  <c r="F64" i="107"/>
  <c r="F61" i="107" s="1"/>
  <c r="F69" i="107" s="1"/>
  <c r="F90" i="107"/>
  <c r="F86" i="107"/>
  <c r="F20" i="107"/>
  <c r="F68" i="107"/>
  <c r="J90" i="107"/>
  <c r="J86" i="107"/>
  <c r="J20" i="107"/>
  <c r="J68" i="107"/>
  <c r="K62" i="107"/>
  <c r="G64" i="107"/>
  <c r="H60" i="107"/>
  <c r="G62" i="107"/>
  <c r="K64" i="107"/>
  <c r="G20" i="107"/>
  <c r="K20" i="107"/>
  <c r="I62" i="107"/>
  <c r="I61" i="107" s="1"/>
  <c r="G63" i="107"/>
  <c r="K63" i="107"/>
  <c r="G86" i="107"/>
  <c r="F67" i="107" l="1"/>
  <c r="F76" i="107" s="1"/>
  <c r="F71" i="107" s="1"/>
  <c r="H63" i="107"/>
  <c r="H64" i="107"/>
  <c r="H62" i="107"/>
  <c r="H61" i="107" s="1"/>
  <c r="H69" i="107" s="1"/>
  <c r="H67" i="107" s="1"/>
  <c r="I69" i="107"/>
  <c r="I67" i="107" s="1"/>
  <c r="I65" i="107"/>
  <c r="G61" i="107"/>
  <c r="J61" i="107"/>
  <c r="F65" i="107"/>
  <c r="K61" i="107"/>
  <c r="H65" i="107" l="1"/>
  <c r="F80" i="107"/>
  <c r="F74" i="107" s="1"/>
  <c r="F78" i="107"/>
  <c r="F72" i="107" s="1"/>
  <c r="F75" i="107" s="1"/>
  <c r="F91" i="107" s="1"/>
  <c r="F92" i="107" s="1"/>
  <c r="F77" i="107"/>
  <c r="F73" i="107" s="1"/>
  <c r="H78" i="107"/>
  <c r="H72" i="107" s="1"/>
  <c r="H80" i="107"/>
  <c r="H74" i="107" s="1"/>
  <c r="H77" i="107"/>
  <c r="H73" i="107" s="1"/>
  <c r="H76" i="107"/>
  <c r="H71" i="107" s="1"/>
  <c r="G69" i="107"/>
  <c r="G67" i="107" s="1"/>
  <c r="G65" i="107"/>
  <c r="J69" i="107"/>
  <c r="J67" i="107" s="1"/>
  <c r="J65" i="107"/>
  <c r="L65" i="107" s="1"/>
  <c r="F117" i="107" s="1"/>
  <c r="I76" i="107"/>
  <c r="I71" i="107" s="1"/>
  <c r="I75" i="107" s="1"/>
  <c r="I66" i="107" s="1"/>
  <c r="I78" i="107"/>
  <c r="I72" i="107" s="1"/>
  <c r="I80" i="107"/>
  <c r="I74" i="107" s="1"/>
  <c r="I77" i="107"/>
  <c r="I73" i="107" s="1"/>
  <c r="K69" i="107"/>
  <c r="K67" i="107" s="1"/>
  <c r="K65" i="107"/>
  <c r="I91" i="107" l="1"/>
  <c r="I92" i="107" s="1"/>
  <c r="F66" i="107"/>
  <c r="K77" i="107"/>
  <c r="K73" i="107" s="1"/>
  <c r="K78" i="107"/>
  <c r="K72" i="107" s="1"/>
  <c r="K80" i="107"/>
  <c r="K74" i="107" s="1"/>
  <c r="K76" i="107"/>
  <c r="K71" i="107" s="1"/>
  <c r="K75" i="107" s="1"/>
  <c r="K66" i="107" s="1"/>
  <c r="F89" i="107"/>
  <c r="F95" i="107"/>
  <c r="F93" i="107" s="1"/>
  <c r="F103" i="107" s="1"/>
  <c r="F107" i="107"/>
  <c r="J78" i="107"/>
  <c r="J72" i="107" s="1"/>
  <c r="J80" i="107"/>
  <c r="J74" i="107" s="1"/>
  <c r="J77" i="107"/>
  <c r="J73" i="107" s="1"/>
  <c r="J76" i="107"/>
  <c r="J71" i="107" s="1"/>
  <c r="J75" i="107" s="1"/>
  <c r="J66" i="107" s="1"/>
  <c r="G78" i="107"/>
  <c r="G72" i="107" s="1"/>
  <c r="G77" i="107"/>
  <c r="G73" i="107" s="1"/>
  <c r="G76" i="107"/>
  <c r="G71" i="107" s="1"/>
  <c r="G80" i="107"/>
  <c r="G74" i="107" s="1"/>
  <c r="I95" i="107"/>
  <c r="I93" i="107" s="1"/>
  <c r="I103" i="107" s="1"/>
  <c r="I89" i="107"/>
  <c r="I107" i="107"/>
  <c r="H75" i="107"/>
  <c r="K91" i="107" l="1"/>
  <c r="K92" i="107" s="1"/>
  <c r="J91" i="107"/>
  <c r="J92" i="107" s="1"/>
  <c r="J95" i="107"/>
  <c r="J93" i="107" s="1"/>
  <c r="J103" i="107" s="1"/>
  <c r="J89" i="107"/>
  <c r="J107" i="107"/>
  <c r="K95" i="107"/>
  <c r="K93" i="107" s="1"/>
  <c r="K103" i="107" s="1"/>
  <c r="K89" i="107"/>
  <c r="K107" i="107"/>
  <c r="H66" i="107"/>
  <c r="H91" i="107"/>
  <c r="H92" i="107" s="1"/>
  <c r="F104" i="107"/>
  <c r="F106" i="107"/>
  <c r="I104" i="107"/>
  <c r="I106" i="107"/>
  <c r="G75" i="107"/>
  <c r="K106" i="107" l="1"/>
  <c r="K104" i="107"/>
  <c r="H95" i="107"/>
  <c r="H93" i="107" s="1"/>
  <c r="H103" i="107" s="1"/>
  <c r="H89" i="107"/>
  <c r="H107" i="107"/>
  <c r="G66" i="107"/>
  <c r="G91" i="107"/>
  <c r="G92" i="107" s="1"/>
  <c r="L92" i="107" s="1"/>
  <c r="F118" i="107" s="1"/>
  <c r="J104" i="107"/>
  <c r="J106" i="107"/>
  <c r="H104" i="107" l="1"/>
  <c r="H106" i="107"/>
  <c r="G95" i="107"/>
  <c r="G93" i="107" s="1"/>
  <c r="G103" i="107" s="1"/>
  <c r="G89" i="107"/>
  <c r="G107" i="107"/>
  <c r="L107" i="107" s="1"/>
  <c r="G106" i="107" l="1"/>
  <c r="L106" i="107" s="1"/>
  <c r="G104" i="107"/>
  <c r="L104" i="107" s="1"/>
  <c r="L103" i="107"/>
  <c r="F119" i="107" s="1"/>
  <c r="F116" i="107" s="1"/>
  <c r="F24" i="62" l="1"/>
  <c r="F23" i="62"/>
  <c r="F22" i="62"/>
  <c r="F21" i="62"/>
  <c r="C17" i="64" l="1"/>
  <c r="E4" i="82" l="1"/>
  <c r="H74" i="14" l="1"/>
  <c r="H8" i="46"/>
  <c r="K19" i="64"/>
  <c r="D9" i="64"/>
  <c r="J3" i="64"/>
  <c r="E9" i="64" s="1"/>
  <c r="J17" i="64" s="1"/>
  <c r="P14" i="82"/>
  <c r="P12" i="82"/>
  <c r="L14" i="82"/>
  <c r="L12" i="82"/>
  <c r="E12" i="82"/>
  <c r="N12" i="82" s="1"/>
  <c r="O12" i="82" s="1"/>
  <c r="Q12" i="82" s="1"/>
  <c r="E3" i="82"/>
  <c r="E10" i="82" s="1"/>
  <c r="N10" i="82" s="1"/>
  <c r="O10" i="82" s="1"/>
  <c r="Q10" i="82" s="1"/>
  <c r="E14" i="82"/>
  <c r="H14" i="82"/>
  <c r="D52" i="78"/>
  <c r="D55" i="78"/>
  <c r="D54" i="78"/>
  <c r="D49" i="78"/>
  <c r="D48" i="78"/>
  <c r="D47" i="78"/>
  <c r="D46" i="78"/>
  <c r="D45" i="78"/>
  <c r="D44" i="78"/>
  <c r="D43" i="78"/>
  <c r="D22" i="78"/>
  <c r="D21" i="78"/>
  <c r="D16" i="78"/>
  <c r="D15" i="78"/>
  <c r="D14" i="78"/>
  <c r="D13" i="78"/>
  <c r="E10" i="62"/>
  <c r="D8" i="62"/>
  <c r="D6" i="62"/>
  <c r="D17" i="37"/>
  <c r="F17" i="37" s="1"/>
  <c r="F36" i="80"/>
  <c r="F32" i="80"/>
  <c r="F14" i="80"/>
  <c r="H11" i="41"/>
  <c r="H9" i="41"/>
  <c r="H11" i="46"/>
  <c r="H16" i="46"/>
  <c r="H13" i="46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19" i="18"/>
  <c r="F18" i="18"/>
  <c r="D5" i="18"/>
  <c r="D4" i="27"/>
  <c r="G113" i="14"/>
  <c r="A113" i="14"/>
  <c r="E43" i="78"/>
  <c r="C8" i="33"/>
  <c r="C6" i="33"/>
  <c r="E49" i="78"/>
  <c r="F49" i="78" s="1"/>
  <c r="E22" i="78"/>
  <c r="F22" i="78" s="1"/>
  <c r="E21" i="78"/>
  <c r="F21" i="78" s="1"/>
  <c r="H19" i="46"/>
  <c r="S98" i="14"/>
  <c r="S100" i="14" s="1"/>
  <c r="K103" i="14"/>
  <c r="M103" i="14" s="1"/>
  <c r="S103" i="14" s="1"/>
  <c r="S102" i="14"/>
  <c r="S107" i="14"/>
  <c r="S106" i="14"/>
  <c r="S105" i="14"/>
  <c r="S104" i="14"/>
  <c r="S58" i="14"/>
  <c r="S61" i="14"/>
  <c r="S60" i="14"/>
  <c r="S42" i="14"/>
  <c r="S41" i="14"/>
  <c r="S62" i="14"/>
  <c r="S63" i="14"/>
  <c r="S64" i="14"/>
  <c r="F37" i="78"/>
  <c r="F36" i="78"/>
  <c r="F35" i="78"/>
  <c r="F34" i="78"/>
  <c r="F33" i="78"/>
  <c r="F32" i="78"/>
  <c r="F31" i="78"/>
  <c r="F30" i="78"/>
  <c r="F29" i="78"/>
  <c r="F28" i="78"/>
  <c r="F27" i="78"/>
  <c r="F39" i="78" s="1"/>
  <c r="F21" i="27"/>
  <c r="F22" i="27" s="1"/>
  <c r="A45" i="31"/>
  <c r="A46" i="31" s="1"/>
  <c r="A49" i="31"/>
  <c r="A50" i="31" s="1"/>
  <c r="A51" i="31" s="1"/>
  <c r="A52" i="31" s="1"/>
  <c r="A53" i="31" s="1"/>
  <c r="A54" i="31" s="1"/>
  <c r="A55" i="31" s="1"/>
  <c r="A56" i="31" s="1"/>
  <c r="F136" i="18"/>
  <c r="F135" i="18"/>
  <c r="F134" i="18"/>
  <c r="F133" i="18"/>
  <c r="F132" i="18"/>
  <c r="F131" i="18"/>
  <c r="F127" i="18"/>
  <c r="F126" i="18"/>
  <c r="F125" i="18"/>
  <c r="F124" i="18"/>
  <c r="F128" i="18" s="1"/>
  <c r="F120" i="18"/>
  <c r="F119" i="18"/>
  <c r="F118" i="18"/>
  <c r="F117" i="18"/>
  <c r="F113" i="18"/>
  <c r="F112" i="18"/>
  <c r="F111" i="18"/>
  <c r="F110" i="18"/>
  <c r="F109" i="18"/>
  <c r="F108" i="18"/>
  <c r="F104" i="18"/>
  <c r="F103" i="18"/>
  <c r="F102" i="18"/>
  <c r="F101" i="18"/>
  <c r="F100" i="18"/>
  <c r="F99" i="18"/>
  <c r="F98" i="18"/>
  <c r="F97" i="18"/>
  <c r="F96" i="18"/>
  <c r="C58" i="69"/>
  <c r="D50" i="69" s="1"/>
  <c r="K55" i="69"/>
  <c r="L55" i="69" s="1"/>
  <c r="M55" i="69" s="1"/>
  <c r="N55" i="69" s="1"/>
  <c r="D52" i="69"/>
  <c r="D39" i="69"/>
  <c r="D32" i="69"/>
  <c r="AA29" i="69"/>
  <c r="AH28" i="69"/>
  <c r="D28" i="69"/>
  <c r="D25" i="69"/>
  <c r="D24" i="69"/>
  <c r="D23" i="69"/>
  <c r="U19" i="69"/>
  <c r="V19" i="69" s="1"/>
  <c r="W19" i="69" s="1"/>
  <c r="D18" i="69"/>
  <c r="D17" i="69"/>
  <c r="D15" i="69"/>
  <c r="D12" i="69"/>
  <c r="D10" i="69"/>
  <c r="D7" i="69"/>
  <c r="N5" i="69"/>
  <c r="O5" i="69" s="1"/>
  <c r="P5" i="69" s="1"/>
  <c r="Q5" i="69" s="1"/>
  <c r="R5" i="69" s="1"/>
  <c r="S5" i="69" s="1"/>
  <c r="T5" i="69" s="1"/>
  <c r="U5" i="69" s="1"/>
  <c r="V5" i="69" s="1"/>
  <c r="W5" i="69" s="1"/>
  <c r="X5" i="69" s="1"/>
  <c r="Y5" i="69" s="1"/>
  <c r="Z5" i="69" s="1"/>
  <c r="AA5" i="69" s="1"/>
  <c r="AB5" i="69" s="1"/>
  <c r="AC5" i="69" s="1"/>
  <c r="AD5" i="69" s="1"/>
  <c r="AE5" i="69" s="1"/>
  <c r="AF5" i="69" s="1"/>
  <c r="AG5" i="69" s="1"/>
  <c r="AH5" i="69" s="1"/>
  <c r="AI5" i="69" s="1"/>
  <c r="AJ5" i="69" s="1"/>
  <c r="AK5" i="69" s="1"/>
  <c r="AL5" i="69" s="1"/>
  <c r="AM5" i="69" s="1"/>
  <c r="AN5" i="69" s="1"/>
  <c r="AO5" i="69" s="1"/>
  <c r="AP5" i="69" s="1"/>
  <c r="AQ5" i="69" s="1"/>
  <c r="AR5" i="69" s="1"/>
  <c r="AS5" i="69" s="1"/>
  <c r="AT5" i="69" s="1"/>
  <c r="AU5" i="69" s="1"/>
  <c r="AV5" i="69" s="1"/>
  <c r="AW5" i="69" s="1"/>
  <c r="AX5" i="69" s="1"/>
  <c r="AY5" i="69" s="1"/>
  <c r="AZ5" i="69" s="1"/>
  <c r="BA5" i="69" s="1"/>
  <c r="BB5" i="69" s="1"/>
  <c r="BC5" i="69" s="1"/>
  <c r="BD5" i="69" s="1"/>
  <c r="BE5" i="69" s="1"/>
  <c r="G4" i="69"/>
  <c r="H4" i="69" s="1"/>
  <c r="I4" i="69" s="1"/>
  <c r="J4" i="69" s="1"/>
  <c r="K4" i="69" s="1"/>
  <c r="L4" i="69" s="1"/>
  <c r="M4" i="69" s="1"/>
  <c r="N4" i="69" s="1"/>
  <c r="O4" i="69" s="1"/>
  <c r="P4" i="69" s="1"/>
  <c r="Q4" i="69" s="1"/>
  <c r="R4" i="69" s="1"/>
  <c r="S4" i="69" s="1"/>
  <c r="T4" i="69" s="1"/>
  <c r="U4" i="69" s="1"/>
  <c r="V4" i="69" s="1"/>
  <c r="W4" i="69" s="1"/>
  <c r="X4" i="69" s="1"/>
  <c r="Y4" i="69" s="1"/>
  <c r="Z4" i="69" s="1"/>
  <c r="AA4" i="69" s="1"/>
  <c r="AB4" i="69" s="1"/>
  <c r="AC4" i="69" s="1"/>
  <c r="AD4" i="69" s="1"/>
  <c r="AE4" i="69" s="1"/>
  <c r="AF4" i="69" s="1"/>
  <c r="AG4" i="69" s="1"/>
  <c r="AH4" i="69" s="1"/>
  <c r="AI4" i="69" s="1"/>
  <c r="AJ4" i="69" s="1"/>
  <c r="AK4" i="69" s="1"/>
  <c r="AL4" i="69" s="1"/>
  <c r="AM4" i="69" s="1"/>
  <c r="AN4" i="69" s="1"/>
  <c r="AO4" i="69" s="1"/>
  <c r="AP4" i="69" s="1"/>
  <c r="AQ4" i="69" s="1"/>
  <c r="AR4" i="69" s="1"/>
  <c r="AS4" i="69" s="1"/>
  <c r="AT4" i="69" s="1"/>
  <c r="AU4" i="69" s="1"/>
  <c r="AV4" i="69" s="1"/>
  <c r="AW4" i="69" s="1"/>
  <c r="AX4" i="69" s="1"/>
  <c r="AY4" i="69" s="1"/>
  <c r="AZ4" i="69" s="1"/>
  <c r="BA4" i="69" s="1"/>
  <c r="BB4" i="69" s="1"/>
  <c r="BC4" i="69" s="1"/>
  <c r="BD4" i="69" s="1"/>
  <c r="BE4" i="69" s="1"/>
  <c r="AB29" i="69"/>
  <c r="O55" i="69"/>
  <c r="P55" i="69" s="1"/>
  <c r="AC29" i="69"/>
  <c r="AD29" i="69" s="1"/>
  <c r="A72" i="62"/>
  <c r="A73" i="62" s="1"/>
  <c r="A74" i="62" s="1"/>
  <c r="A76" i="62"/>
  <c r="A77" i="62" s="1"/>
  <c r="A78" i="62" s="1"/>
  <c r="A79" i="62" s="1"/>
  <c r="A80" i="62" s="1"/>
  <c r="A81" i="62" s="1"/>
  <c r="A82" i="62" s="1"/>
  <c r="A83" i="62" s="1"/>
  <c r="A84" i="62" s="1"/>
  <c r="A85" i="62" s="1"/>
  <c r="G62" i="69"/>
  <c r="H62" i="69"/>
  <c r="I62" i="69" s="1"/>
  <c r="J62" i="69" s="1"/>
  <c r="K62" i="69" s="1"/>
  <c r="L62" i="69" s="1"/>
  <c r="M62" i="69" s="1"/>
  <c r="N62" i="69" s="1"/>
  <c r="O62" i="69" s="1"/>
  <c r="P62" i="69" s="1"/>
  <c r="Q62" i="69" s="1"/>
  <c r="R62" i="69" s="1"/>
  <c r="S62" i="69" s="1"/>
  <c r="T62" i="69" s="1"/>
  <c r="U62" i="69" s="1"/>
  <c r="V62" i="69" s="1"/>
  <c r="W62" i="69" s="1"/>
  <c r="X62" i="69" s="1"/>
  <c r="Y62" i="69" s="1"/>
  <c r="Z62" i="69" s="1"/>
  <c r="AA62" i="69" s="1"/>
  <c r="AB62" i="69" s="1"/>
  <c r="AC62" i="69" s="1"/>
  <c r="AD62" i="69" s="1"/>
  <c r="AE62" i="69" s="1"/>
  <c r="AF62" i="69" s="1"/>
  <c r="AG62" i="69" s="1"/>
  <c r="AH62" i="69" s="1"/>
  <c r="AI62" i="69" s="1"/>
  <c r="AJ62" i="69" s="1"/>
  <c r="AK62" i="69" s="1"/>
  <c r="AL62" i="69" s="1"/>
  <c r="AM62" i="69" s="1"/>
  <c r="AN62" i="69" s="1"/>
  <c r="AO62" i="69" s="1"/>
  <c r="AP62" i="69" s="1"/>
  <c r="AQ62" i="69" s="1"/>
  <c r="AR62" i="69" s="1"/>
  <c r="AS62" i="69" s="1"/>
  <c r="AT62" i="69" s="1"/>
  <c r="AU62" i="69" s="1"/>
  <c r="AV62" i="69" s="1"/>
  <c r="AW62" i="69" s="1"/>
  <c r="AX62" i="69" s="1"/>
  <c r="AY62" i="69" s="1"/>
  <c r="AZ62" i="69" s="1"/>
  <c r="BA62" i="69" s="1"/>
  <c r="BB62" i="69" s="1"/>
  <c r="BC62" i="69" s="1"/>
  <c r="BD62" i="69" s="1"/>
  <c r="BE62" i="69" s="1"/>
  <c r="C104" i="69"/>
  <c r="D84" i="69" s="1"/>
  <c r="G63" i="69"/>
  <c r="H63" i="69" s="1"/>
  <c r="D97" i="69"/>
  <c r="D72" i="69"/>
  <c r="E18" i="64"/>
  <c r="E17" i="64"/>
  <c r="E16" i="64"/>
  <c r="F16" i="37"/>
  <c r="S65" i="14"/>
  <c r="F33" i="33"/>
  <c r="F32" i="33"/>
  <c r="F30" i="33"/>
  <c r="F29" i="33"/>
  <c r="F28" i="33"/>
  <c r="F31" i="33"/>
  <c r="F34" i="33"/>
  <c r="F35" i="33"/>
  <c r="F36" i="33"/>
  <c r="F37" i="33"/>
  <c r="F38" i="33"/>
  <c r="F39" i="33"/>
  <c r="F40" i="33"/>
  <c r="F41" i="33"/>
  <c r="F42" i="33"/>
  <c r="F43" i="33"/>
  <c r="F44" i="33"/>
  <c r="F45" i="33"/>
  <c r="F65" i="18"/>
  <c r="F64" i="18"/>
  <c r="E8" i="31"/>
  <c r="A8" i="31"/>
  <c r="E7" i="31"/>
  <c r="A7" i="31"/>
  <c r="F13" i="37"/>
  <c r="F9" i="37"/>
  <c r="F11" i="37" s="1"/>
  <c r="F11" i="27"/>
  <c r="F12" i="27" s="1"/>
  <c r="D66" i="69"/>
  <c r="D101" i="69"/>
  <c r="D75" i="69"/>
  <c r="AE29" i="69"/>
  <c r="AF29" i="69" s="1"/>
  <c r="D88" i="69"/>
  <c r="D87" i="69"/>
  <c r="D83" i="69"/>
  <c r="D100" i="69"/>
  <c r="D79" i="69"/>
  <c r="D89" i="69"/>
  <c r="D71" i="69"/>
  <c r="D68" i="69"/>
  <c r="D93" i="69"/>
  <c r="D81" i="69"/>
  <c r="S57" i="14"/>
  <c r="H14" i="46"/>
  <c r="H12" i="46"/>
  <c r="F60" i="33"/>
  <c r="N14" i="82"/>
  <c r="O14" i="82" s="1"/>
  <c r="Q14" i="82" s="1"/>
  <c r="I14" i="82"/>
  <c r="K14" i="82" s="1"/>
  <c r="M14" i="82" s="1"/>
  <c r="J75" i="62"/>
  <c r="E9" i="84"/>
  <c r="D33" i="69" l="1"/>
  <c r="D41" i="69"/>
  <c r="D53" i="69"/>
  <c r="D76" i="69"/>
  <c r="D35" i="69"/>
  <c r="D42" i="69"/>
  <c r="D55" i="69"/>
  <c r="D78" i="69"/>
  <c r="D31" i="69"/>
  <c r="D36" i="69"/>
  <c r="D44" i="69"/>
  <c r="I63" i="69"/>
  <c r="J63" i="69" s="1"/>
  <c r="S94" i="14"/>
  <c r="F43" i="78"/>
  <c r="F20" i="18"/>
  <c r="D99" i="69"/>
  <c r="D8" i="69"/>
  <c r="D19" i="69"/>
  <c r="D26" i="69"/>
  <c r="D34" i="69"/>
  <c r="D43" i="69"/>
  <c r="D18" i="37"/>
  <c r="F18" i="37" s="1"/>
  <c r="F19" i="37" s="1"/>
  <c r="F22" i="37" s="1"/>
  <c r="I12" i="82"/>
  <c r="D104" i="69"/>
  <c r="D65" i="69"/>
  <c r="D49" i="69"/>
  <c r="B81" i="32"/>
  <c r="B76" i="33" s="1"/>
  <c r="B93" i="121" s="1"/>
  <c r="D86" i="69"/>
  <c r="D74" i="69"/>
  <c r="D70" i="69"/>
  <c r="F105" i="69" s="1"/>
  <c r="F106" i="69" s="1"/>
  <c r="F66" i="18"/>
  <c r="D85" i="69"/>
  <c r="D96" i="69"/>
  <c r="D45" i="69"/>
  <c r="F81" i="32"/>
  <c r="F76" i="33" s="1"/>
  <c r="E26" i="27" s="1"/>
  <c r="E145" i="18" s="1"/>
  <c r="H10" i="41"/>
  <c r="D13" i="69"/>
  <c r="P58" i="69" s="1"/>
  <c r="D20" i="69"/>
  <c r="D29" i="69"/>
  <c r="D37" i="69"/>
  <c r="O58" i="69" s="1"/>
  <c r="D47" i="69"/>
  <c r="D94" i="69"/>
  <c r="D80" i="69"/>
  <c r="D91" i="69"/>
  <c r="D105" i="69" s="1"/>
  <c r="D14" i="69"/>
  <c r="D22" i="69"/>
  <c r="D38" i="69"/>
  <c r="I20" i="39"/>
  <c r="I21" i="39" s="1"/>
  <c r="F27" i="80"/>
  <c r="F11" i="80"/>
  <c r="F23" i="27"/>
  <c r="E19" i="64"/>
  <c r="E16" i="121" s="1"/>
  <c r="G54" i="32"/>
  <c r="E16" i="78"/>
  <c r="F16" i="78" s="1"/>
  <c r="S96" i="14"/>
  <c r="F11" i="33"/>
  <c r="E15" i="78"/>
  <c r="J16" i="64"/>
  <c r="I17" i="64"/>
  <c r="S95" i="14"/>
  <c r="S40" i="14"/>
  <c r="H12" i="41"/>
  <c r="H13" i="41" s="1"/>
  <c r="S92" i="14"/>
  <c r="F137" i="18"/>
  <c r="F121" i="18"/>
  <c r="S99" i="14"/>
  <c r="S101" i="14" s="1"/>
  <c r="S38" i="14"/>
  <c r="S22" i="14"/>
  <c r="S18" i="14"/>
  <c r="S39" i="14"/>
  <c r="H12" i="82"/>
  <c r="E44" i="78"/>
  <c r="F44" i="78" s="1"/>
  <c r="F24" i="78"/>
  <c r="E52" i="78"/>
  <c r="F52" i="78" s="1"/>
  <c r="H19" i="64"/>
  <c r="X19" i="69"/>
  <c r="F13" i="27"/>
  <c r="F14" i="27" s="1"/>
  <c r="E14" i="78"/>
  <c r="F14" i="78" s="1"/>
  <c r="S14" i="82"/>
  <c r="S13" i="82" s="1"/>
  <c r="I105" i="69"/>
  <c r="F46" i="33"/>
  <c r="H12" i="45"/>
  <c r="H13" i="45" s="1"/>
  <c r="K63" i="69"/>
  <c r="Q55" i="69"/>
  <c r="AI28" i="69"/>
  <c r="F105" i="18"/>
  <c r="AG29" i="69"/>
  <c r="AW58" i="69"/>
  <c r="AX58" i="69"/>
  <c r="AB58" i="69"/>
  <c r="AU58" i="69"/>
  <c r="H17" i="46"/>
  <c r="H18" i="46"/>
  <c r="F24" i="27"/>
  <c r="H10" i="82"/>
  <c r="I10" i="82"/>
  <c r="D106" i="69"/>
  <c r="F23" i="80"/>
  <c r="F114" i="18"/>
  <c r="H22" i="44"/>
  <c r="H23" i="44" s="1"/>
  <c r="F20" i="39"/>
  <c r="F15" i="78"/>
  <c r="D10" i="64"/>
  <c r="J4" i="64"/>
  <c r="E10" i="64" s="1"/>
  <c r="J18" i="64" s="1"/>
  <c r="S93" i="14"/>
  <c r="H10" i="46"/>
  <c r="F54" i="18"/>
  <c r="H9" i="46"/>
  <c r="H15" i="46"/>
  <c r="F58" i="69" l="1"/>
  <c r="H58" i="69"/>
  <c r="AF58" i="69"/>
  <c r="K12" i="82"/>
  <c r="M12" i="82" s="1"/>
  <c r="S12" i="82" s="1"/>
  <c r="S11" i="82" s="1"/>
  <c r="W58" i="69"/>
  <c r="H105" i="69"/>
  <c r="E78" i="18"/>
  <c r="F93" i="121" s="1"/>
  <c r="B78" i="18"/>
  <c r="B26" i="27"/>
  <c r="B145" i="18" s="1"/>
  <c r="B68" i="78" s="1"/>
  <c r="G105" i="69"/>
  <c r="G106" i="69" s="1"/>
  <c r="BA58" i="69"/>
  <c r="AY58" i="69"/>
  <c r="AV58" i="69"/>
  <c r="I106" i="69"/>
  <c r="N58" i="69"/>
  <c r="I58" i="69"/>
  <c r="AT58" i="69"/>
  <c r="AD58" i="69"/>
  <c r="M58" i="69"/>
  <c r="AZ58" i="69"/>
  <c r="J105" i="69"/>
  <c r="AE58" i="69"/>
  <c r="AA58" i="69"/>
  <c r="BD58" i="69"/>
  <c r="BE58" i="69"/>
  <c r="G58" i="69"/>
  <c r="B90" i="62"/>
  <c r="A59" i="31" s="1"/>
  <c r="B94" i="117"/>
  <c r="F94" i="117"/>
  <c r="F90" i="62"/>
  <c r="AC58" i="69"/>
  <c r="BC58" i="69"/>
  <c r="D58" i="69"/>
  <c r="BB58" i="69"/>
  <c r="E16" i="62"/>
  <c r="E16" i="117"/>
  <c r="F7" i="78"/>
  <c r="F48" i="78" s="1"/>
  <c r="S23" i="14"/>
  <c r="F8" i="18"/>
  <c r="F60" i="18" s="1"/>
  <c r="E31" i="62"/>
  <c r="S30" i="14"/>
  <c r="S15" i="14"/>
  <c r="S97" i="14"/>
  <c r="S19" i="14"/>
  <c r="S50" i="14"/>
  <c r="S51" i="14"/>
  <c r="S45" i="14"/>
  <c r="S36" i="14"/>
  <c r="F25" i="33"/>
  <c r="S54" i="14"/>
  <c r="E45" i="78"/>
  <c r="F45" i="78" s="1"/>
  <c r="S25" i="14"/>
  <c r="C3" i="64"/>
  <c r="S43" i="14"/>
  <c r="S52" i="14"/>
  <c r="G11" i="48"/>
  <c r="G12" i="48" s="1"/>
  <c r="K10" i="82"/>
  <c r="M10" i="82" s="1"/>
  <c r="S10" i="82" s="1"/>
  <c r="S9" i="82" s="1"/>
  <c r="S15" i="82" s="1"/>
  <c r="F59" i="33"/>
  <c r="S46" i="14"/>
  <c r="E10" i="84"/>
  <c r="E11" i="84" s="1"/>
  <c r="C27" i="64"/>
  <c r="K105" i="69"/>
  <c r="K106" i="69" s="1"/>
  <c r="L63" i="69"/>
  <c r="G52" i="62"/>
  <c r="G67" i="32"/>
  <c r="E68" i="78"/>
  <c r="H106" i="69"/>
  <c r="S47" i="14"/>
  <c r="Q58" i="69"/>
  <c r="R55" i="69"/>
  <c r="F69" i="18"/>
  <c r="E55" i="78"/>
  <c r="F55" i="78" s="1"/>
  <c r="F138" i="18"/>
  <c r="F140" i="18"/>
  <c r="F139" i="18"/>
  <c r="H22" i="46"/>
  <c r="H23" i="46" s="1"/>
  <c r="L37" i="62"/>
  <c r="S13" i="14"/>
  <c r="AG58" i="69"/>
  <c r="AH29" i="69"/>
  <c r="S49" i="14"/>
  <c r="AJ28" i="69"/>
  <c r="J106" i="69"/>
  <c r="E54" i="78"/>
  <c r="F54" i="78" s="1"/>
  <c r="F68" i="18"/>
  <c r="S48" i="14"/>
  <c r="S53" i="14"/>
  <c r="X58" i="69"/>
  <c r="Y19" i="69"/>
  <c r="F46" i="78" l="1"/>
  <c r="H52" i="117"/>
  <c r="G52" i="117"/>
  <c r="F52" i="117"/>
  <c r="I52" i="117"/>
  <c r="K52" i="117"/>
  <c r="H52" i="62"/>
  <c r="E52" i="62"/>
  <c r="K52" i="62"/>
  <c r="F52" i="62"/>
  <c r="G59" i="31"/>
  <c r="J52" i="62"/>
  <c r="I52" i="62"/>
  <c r="C25" i="64"/>
  <c r="F57" i="78"/>
  <c r="F58" i="33"/>
  <c r="F47" i="78"/>
  <c r="F42" i="78"/>
  <c r="S31" i="14"/>
  <c r="S32" i="14"/>
  <c r="S20" i="14"/>
  <c r="S17" i="14"/>
  <c r="S29" i="14"/>
  <c r="S33" i="14"/>
  <c r="S21" i="14"/>
  <c r="S55" i="14"/>
  <c r="S34" i="14"/>
  <c r="S28" i="14"/>
  <c r="S27" i="14"/>
  <c r="G29" i="32"/>
  <c r="J19" i="64"/>
  <c r="F14" i="18"/>
  <c r="F15" i="18" s="1"/>
  <c r="J77" i="62"/>
  <c r="I77" i="62"/>
  <c r="G66" i="32"/>
  <c r="AI29" i="69"/>
  <c r="AH58" i="69"/>
  <c r="I16" i="64"/>
  <c r="Y58" i="69"/>
  <c r="Z19" i="69"/>
  <c r="Z58" i="69" s="1"/>
  <c r="F65" i="33"/>
  <c r="F70" i="18"/>
  <c r="AK28" i="69"/>
  <c r="S14" i="14"/>
  <c r="I18" i="64"/>
  <c r="R58" i="69"/>
  <c r="S55" i="69"/>
  <c r="S80" i="14"/>
  <c r="S16" i="82"/>
  <c r="S17" i="82" s="1"/>
  <c r="M63" i="69"/>
  <c r="L105" i="69"/>
  <c r="L106" i="69" s="1"/>
  <c r="F141" i="18"/>
  <c r="K49" i="117" l="1"/>
  <c r="J49" i="117"/>
  <c r="J88" i="117" s="1"/>
  <c r="F49" i="117"/>
  <c r="I49" i="117"/>
  <c r="H49" i="117"/>
  <c r="G49" i="117"/>
  <c r="J52" i="117"/>
  <c r="E52" i="117"/>
  <c r="L52" i="117"/>
  <c r="F51" i="78"/>
  <c r="L52" i="62"/>
  <c r="K77" i="62"/>
  <c r="G75" i="32"/>
  <c r="E49" i="62"/>
  <c r="K49" i="62"/>
  <c r="S83" i="14"/>
  <c r="S86" i="14"/>
  <c r="S85" i="14"/>
  <c r="S87" i="14"/>
  <c r="S84" i="14"/>
  <c r="S89" i="14"/>
  <c r="G71" i="32"/>
  <c r="H16" i="81"/>
  <c r="H17" i="81" s="1"/>
  <c r="H18" i="81" s="1"/>
  <c r="G49" i="62"/>
  <c r="I49" i="62"/>
  <c r="F49" i="62"/>
  <c r="J49" i="62"/>
  <c r="J76" i="62" s="1"/>
  <c r="H49" i="62"/>
  <c r="G5" i="47"/>
  <c r="D24" i="46"/>
  <c r="S35" i="14"/>
  <c r="S37" i="14" s="1"/>
  <c r="S59" i="14" s="1"/>
  <c r="S66" i="14" s="1"/>
  <c r="N63" i="69"/>
  <c r="M105" i="69"/>
  <c r="M106" i="69" s="1"/>
  <c r="T55" i="69"/>
  <c r="S58" i="69"/>
  <c r="AL28" i="69"/>
  <c r="F72" i="18"/>
  <c r="F73" i="18"/>
  <c r="S88" i="14"/>
  <c r="F24" i="31"/>
  <c r="S82" i="14"/>
  <c r="F142" i="18"/>
  <c r="F143" i="18" s="1"/>
  <c r="S90" i="14"/>
  <c r="AJ29" i="69"/>
  <c r="AI58" i="69"/>
  <c r="L49" i="117" l="1"/>
  <c r="E49" i="117"/>
  <c r="G74" i="32"/>
  <c r="G73" i="32"/>
  <c r="E13" i="78"/>
  <c r="F13" i="78" s="1"/>
  <c r="F18" i="78" s="1"/>
  <c r="J78" i="62"/>
  <c r="J80" i="62" s="1"/>
  <c r="J82" i="62" s="1"/>
  <c r="J83" i="62" s="1"/>
  <c r="L49" i="62"/>
  <c r="O27" i="47"/>
  <c r="O28" i="47" s="1"/>
  <c r="D14" i="45"/>
  <c r="H24" i="46"/>
  <c r="S67" i="14"/>
  <c r="S68" i="14" s="1"/>
  <c r="S91" i="14"/>
  <c r="S108" i="14" s="1"/>
  <c r="AK29" i="69"/>
  <c r="AJ58" i="69"/>
  <c r="G19" i="64"/>
  <c r="T58" i="69"/>
  <c r="U55" i="69"/>
  <c r="G24" i="31"/>
  <c r="AM28" i="69"/>
  <c r="N105" i="69"/>
  <c r="N106" i="69" s="1"/>
  <c r="O63" i="69"/>
  <c r="G76" i="32" l="1"/>
  <c r="G77" i="32" s="1"/>
  <c r="G78" i="32" s="1"/>
  <c r="F68" i="33"/>
  <c r="F69" i="33"/>
  <c r="F66" i="33"/>
  <c r="F60" i="78"/>
  <c r="F59" i="78"/>
  <c r="F58" i="78"/>
  <c r="D24" i="44"/>
  <c r="H14" i="45"/>
  <c r="S109" i="14"/>
  <c r="S110" i="14" s="1"/>
  <c r="F59" i="18"/>
  <c r="AN28" i="69"/>
  <c r="AL29" i="69"/>
  <c r="AK58" i="69"/>
  <c r="P63" i="69"/>
  <c r="O105" i="69"/>
  <c r="O106" i="69" s="1"/>
  <c r="J84" i="62"/>
  <c r="F58" i="18"/>
  <c r="I19" i="64"/>
  <c r="C24" i="64" s="1"/>
  <c r="U58" i="69"/>
  <c r="V55" i="69"/>
  <c r="V58" i="69" s="1"/>
  <c r="F61" i="78" l="1"/>
  <c r="F62" i="78" s="1"/>
  <c r="F63" i="78" s="1"/>
  <c r="O24" i="47"/>
  <c r="F70" i="33"/>
  <c r="F50" i="111"/>
  <c r="G50" i="111" s="1"/>
  <c r="H50" i="111" s="1"/>
  <c r="I50" i="111" s="1"/>
  <c r="J50" i="111" s="1"/>
  <c r="K50" i="111" s="1"/>
  <c r="L50" i="111" s="1"/>
  <c r="M50" i="111" s="1"/>
  <c r="N50" i="111" s="1"/>
  <c r="O50" i="111" s="1"/>
  <c r="P50" i="111" s="1"/>
  <c r="Q50" i="111" s="1"/>
  <c r="R50" i="111" s="1"/>
  <c r="S50" i="111" s="1"/>
  <c r="T50" i="111" s="1"/>
  <c r="U50" i="111" s="1"/>
  <c r="V50" i="111" s="1"/>
  <c r="W50" i="111" s="1"/>
  <c r="X50" i="111" s="1"/>
  <c r="Y50" i="111" s="1"/>
  <c r="Z50" i="111" s="1"/>
  <c r="AA50" i="111" s="1"/>
  <c r="AB50" i="111" s="1"/>
  <c r="AC50" i="111" s="1"/>
  <c r="AD50" i="111" s="1"/>
  <c r="AE50" i="111" s="1"/>
  <c r="AF50" i="111" s="1"/>
  <c r="AG50" i="111" s="1"/>
  <c r="AH50" i="111" s="1"/>
  <c r="AI50" i="111" s="1"/>
  <c r="F57" i="18"/>
  <c r="F61" i="18" s="1"/>
  <c r="F71" i="18" s="1"/>
  <c r="F74" i="18" s="1"/>
  <c r="F75" i="18" s="1"/>
  <c r="G48" i="31"/>
  <c r="G49" i="31" s="1"/>
  <c r="G51" i="31" s="1"/>
  <c r="G53" i="31" s="1"/>
  <c r="G54" i="31" s="1"/>
  <c r="D12" i="43"/>
  <c r="H24" i="44"/>
  <c r="Q63" i="69"/>
  <c r="P105" i="69"/>
  <c r="P106" i="69" s="1"/>
  <c r="AM29" i="69"/>
  <c r="AL58" i="69"/>
  <c r="AO28" i="69"/>
  <c r="I88" i="117" l="1"/>
  <c r="E88" i="117"/>
  <c r="K88" i="117"/>
  <c r="K89" i="117" s="1"/>
  <c r="F88" i="117"/>
  <c r="H88" i="117"/>
  <c r="G88" i="117"/>
  <c r="F71" i="33"/>
  <c r="F72" i="33" s="1"/>
  <c r="G75" i="62"/>
  <c r="G76" i="62" s="1"/>
  <c r="G78" i="62" s="1"/>
  <c r="G80" i="62" s="1"/>
  <c r="G82" i="62" s="1"/>
  <c r="G83" i="62" s="1"/>
  <c r="K75" i="62"/>
  <c r="K76" i="62" s="1"/>
  <c r="K78" i="62" s="1"/>
  <c r="K80" i="62" s="1"/>
  <c r="K82" i="62" s="1"/>
  <c r="K83" i="62" s="1"/>
  <c r="K84" i="62" s="1"/>
  <c r="K85" i="62" s="1"/>
  <c r="I75" i="62"/>
  <c r="I76" i="62" s="1"/>
  <c r="I78" i="62" s="1"/>
  <c r="I80" i="62" s="1"/>
  <c r="I82" i="62" s="1"/>
  <c r="I83" i="62" s="1"/>
  <c r="H75" i="62"/>
  <c r="E75" i="62"/>
  <c r="F48" i="31"/>
  <c r="F49" i="31" s="1"/>
  <c r="F51" i="31" s="1"/>
  <c r="F53" i="31" s="1"/>
  <c r="F55" i="31" s="1"/>
  <c r="F75" i="62"/>
  <c r="F76" i="62" s="1"/>
  <c r="F78" i="62" s="1"/>
  <c r="F80" i="62" s="1"/>
  <c r="F82" i="62" s="1"/>
  <c r="F83" i="62" s="1"/>
  <c r="G55" i="31"/>
  <c r="F76" i="18"/>
  <c r="D14" i="41"/>
  <c r="F12" i="43"/>
  <c r="AN29" i="69"/>
  <c r="AM58" i="69"/>
  <c r="R63" i="69"/>
  <c r="Q105" i="69"/>
  <c r="Q106" i="69" s="1"/>
  <c r="AP28" i="69"/>
  <c r="G84" i="62" l="1"/>
  <c r="L88" i="117"/>
  <c r="F84" i="62"/>
  <c r="F54" i="31"/>
  <c r="I84" i="62"/>
  <c r="L75" i="62"/>
  <c r="H76" i="62"/>
  <c r="H78" i="62" s="1"/>
  <c r="H80" i="62" s="1"/>
  <c r="H82" i="62" s="1"/>
  <c r="H83" i="62" s="1"/>
  <c r="G56" i="31"/>
  <c r="D22" i="39"/>
  <c r="H14" i="41"/>
  <c r="E76" i="62"/>
  <c r="E78" i="62" s="1"/>
  <c r="E80" i="62" s="1"/>
  <c r="E82" i="62" s="1"/>
  <c r="E83" i="62" s="1"/>
  <c r="E84" i="62" s="1"/>
  <c r="E85" i="62" s="1"/>
  <c r="AQ28" i="69"/>
  <c r="R105" i="69"/>
  <c r="R106" i="69" s="1"/>
  <c r="S63" i="69"/>
  <c r="AO29" i="69"/>
  <c r="AN58" i="69"/>
  <c r="F56" i="31"/>
  <c r="H84" i="62" l="1"/>
  <c r="L76" i="62"/>
  <c r="L78" i="62" s="1"/>
  <c r="L80" i="62" s="1"/>
  <c r="L82" i="62" s="1"/>
  <c r="L83" i="62" s="1"/>
  <c r="L84" i="62" s="1"/>
  <c r="D43" i="64"/>
  <c r="D44" i="64" s="1"/>
  <c r="D34" i="64"/>
  <c r="D35" i="64" s="1"/>
  <c r="I22" i="39"/>
  <c r="AP29" i="69"/>
  <c r="AO58" i="69"/>
  <c r="T63" i="69"/>
  <c r="S105" i="69"/>
  <c r="S106" i="69" s="1"/>
  <c r="AR28" i="69"/>
  <c r="D28" i="64" l="1"/>
  <c r="D23" i="37"/>
  <c r="C13" i="48" s="1"/>
  <c r="D37" i="64"/>
  <c r="T105" i="69"/>
  <c r="T106" i="69" s="1"/>
  <c r="U63" i="69"/>
  <c r="AS28" i="69"/>
  <c r="AS58" i="69" s="1"/>
  <c r="AQ29" i="69"/>
  <c r="AP58" i="69"/>
  <c r="G59" i="59" l="1"/>
  <c r="D38" i="64"/>
  <c r="F23" i="37"/>
  <c r="G13" i="48"/>
  <c r="AR29" i="69"/>
  <c r="AR58" i="69" s="1"/>
  <c r="AQ58" i="69"/>
  <c r="U105" i="69"/>
  <c r="U106" i="69" s="1"/>
  <c r="V63" i="69"/>
  <c r="H59" i="59" l="1"/>
  <c r="D41" i="64"/>
  <c r="D39" i="64"/>
  <c r="W63" i="69"/>
  <c r="V105" i="69"/>
  <c r="V106" i="69" s="1"/>
  <c r="D40" i="64" l="1"/>
  <c r="X63" i="69"/>
  <c r="W105" i="69"/>
  <c r="W106" i="69" s="1"/>
  <c r="Y63" i="69" l="1"/>
  <c r="X105" i="69"/>
  <c r="X106" i="69" s="1"/>
  <c r="Y105" i="69" l="1"/>
  <c r="Y106" i="69" s="1"/>
  <c r="Z63" i="69"/>
  <c r="AA63" i="69" s="1"/>
  <c r="AB63" i="69" s="1"/>
  <c r="AC63" i="69" s="1"/>
  <c r="AD63" i="69" s="1"/>
  <c r="AE63" i="69" s="1"/>
  <c r="AF63" i="69" s="1"/>
  <c r="AG63" i="69" s="1"/>
  <c r="AH63" i="69" s="1"/>
  <c r="AI63" i="69" s="1"/>
  <c r="AJ63" i="69" s="1"/>
  <c r="AK63" i="69" s="1"/>
  <c r="AL63" i="69" s="1"/>
  <c r="AM63" i="69" s="1"/>
  <c r="AN63" i="69" s="1"/>
  <c r="AO63" i="69" s="1"/>
  <c r="AP63" i="69" s="1"/>
  <c r="AQ63" i="69" s="1"/>
  <c r="AR63" i="69" s="1"/>
  <c r="AS63" i="69" s="1"/>
  <c r="AT63" i="69" s="1"/>
  <c r="AU63" i="69" s="1"/>
  <c r="AV63" i="69" s="1"/>
  <c r="AW63" i="69" s="1"/>
  <c r="AX63" i="69" s="1"/>
  <c r="AY63" i="69" s="1"/>
  <c r="AZ63" i="69" s="1"/>
  <c r="BA63" i="69" s="1"/>
  <c r="BB63" i="69" s="1"/>
  <c r="BC63" i="69" s="1"/>
  <c r="BD63" i="69" s="1"/>
  <c r="BE63" i="69" s="1"/>
</calcChain>
</file>

<file path=xl/sharedStrings.xml><?xml version="1.0" encoding="utf-8"?>
<sst xmlns="http://schemas.openxmlformats.org/spreadsheetml/2006/main" count="4033" uniqueCount="1367">
  <si>
    <t>№ п/п</t>
  </si>
  <si>
    <t>м</t>
  </si>
  <si>
    <t>Ед.изм.</t>
  </si>
  <si>
    <t>опер</t>
  </si>
  <si>
    <t>1.</t>
  </si>
  <si>
    <t>2.</t>
  </si>
  <si>
    <t>2.2.</t>
  </si>
  <si>
    <t>2.1.</t>
  </si>
  <si>
    <t>4.1.</t>
  </si>
  <si>
    <t>4.2.</t>
  </si>
  <si>
    <t>6.</t>
  </si>
  <si>
    <t>7.</t>
  </si>
  <si>
    <t>8.</t>
  </si>
  <si>
    <t>9.</t>
  </si>
  <si>
    <t>№№ п.п.</t>
  </si>
  <si>
    <t>Наименование элементов затрат</t>
  </si>
  <si>
    <t>Количество</t>
  </si>
  <si>
    <t>Материалы</t>
  </si>
  <si>
    <t>2.1</t>
  </si>
  <si>
    <t>2.2</t>
  </si>
  <si>
    <t>и т.д.</t>
  </si>
  <si>
    <t>3.</t>
  </si>
  <si>
    <t>3.1</t>
  </si>
  <si>
    <t>3.2</t>
  </si>
  <si>
    <t>1.1</t>
  </si>
  <si>
    <t>1.2</t>
  </si>
  <si>
    <t>Всего:</t>
  </si>
  <si>
    <t>4.</t>
  </si>
  <si>
    <t>4.1</t>
  </si>
  <si>
    <t>4.2</t>
  </si>
  <si>
    <t>5.</t>
  </si>
  <si>
    <t xml:space="preserve">Всего с НДС </t>
  </si>
  <si>
    <t>Стоимость за един., руб.</t>
  </si>
  <si>
    <t>Стоимость всего, руб.</t>
  </si>
  <si>
    <t>Наименование видов работ, услуг</t>
  </si>
  <si>
    <t>Бурение и крепление</t>
  </si>
  <si>
    <t xml:space="preserve">Амортизация БУ </t>
  </si>
  <si>
    <t>Амортизация бригадного хозяйства</t>
  </si>
  <si>
    <t>Прочие материалы</t>
  </si>
  <si>
    <t>Износ бурильных труб</t>
  </si>
  <si>
    <t xml:space="preserve">Содержание бурового оборудования </t>
  </si>
  <si>
    <t xml:space="preserve">Пароводоснабжение (с учетом нефти)                                                                                                     </t>
  </si>
  <si>
    <t>ИТОГО по статье "Материалы"</t>
  </si>
  <si>
    <t>Сервисные услуги</t>
  </si>
  <si>
    <t>Телеметрическое сопровождение бурения</t>
  </si>
  <si>
    <t>Прокат турбобуров</t>
  </si>
  <si>
    <t>Опрессовка обсадной трубы</t>
  </si>
  <si>
    <t>ИТОГО по статье "Сервисные услуги"</t>
  </si>
  <si>
    <t>Транспортные расходы</t>
  </si>
  <si>
    <t>ИТОГО по статье "Транспорт"</t>
  </si>
  <si>
    <t>ВСЕГО затрат</t>
  </si>
  <si>
    <t>ИТОГО стоимость скважины без НДС</t>
  </si>
  <si>
    <t>ВСЕГО стоимость скважины  с НДС</t>
  </si>
  <si>
    <t>ФОТ (без учета ЕСН)</t>
  </si>
  <si>
    <t xml:space="preserve"> </t>
  </si>
  <si>
    <t>Наименование  техники</t>
  </si>
  <si>
    <t>Кол-во единиц техники</t>
  </si>
  <si>
    <t xml:space="preserve"> Общая сумма затрат </t>
  </si>
  <si>
    <t>Ст-ть            1 км. пробега</t>
  </si>
  <si>
    <t>Ст-ть затрат за общий пробег</t>
  </si>
  <si>
    <t>Ст-ть затрат на 1 установку</t>
  </si>
  <si>
    <t>ВСЕГО, затрат</t>
  </si>
  <si>
    <t>сут</t>
  </si>
  <si>
    <t>шт.</t>
  </si>
  <si>
    <t xml:space="preserve">   руб.</t>
  </si>
  <si>
    <t>руб.</t>
  </si>
  <si>
    <t>км.</t>
  </si>
  <si>
    <t>ИТОГО:</t>
  </si>
  <si>
    <t>1.3</t>
  </si>
  <si>
    <t>руб</t>
  </si>
  <si>
    <t>Всего с НДС</t>
  </si>
  <si>
    <t>Общий пробег</t>
  </si>
  <si>
    <t>сут.</t>
  </si>
  <si>
    <t xml:space="preserve">Перечислить какие механизмы используются, количество ед. </t>
  </si>
  <si>
    <t xml:space="preserve">Аренда ДЭС </t>
  </si>
  <si>
    <t>Транспортные услуги</t>
  </si>
  <si>
    <t>Указать наименование автотранспорта, грузоподъемность, расстояние перевозки, количество рейсов,  что перевозит</t>
  </si>
  <si>
    <t xml:space="preserve">Амортизация </t>
  </si>
  <si>
    <t>5.1</t>
  </si>
  <si>
    <t>5.2</t>
  </si>
  <si>
    <t>Итого затраты по механизмам:</t>
  </si>
  <si>
    <t>Итого ФОТ:</t>
  </si>
  <si>
    <t>Итого затраты по материалам:</t>
  </si>
  <si>
    <t>Итого транспортные услуги:</t>
  </si>
  <si>
    <t>суток</t>
  </si>
  <si>
    <t xml:space="preserve">Расшифровать какие материалы используются </t>
  </si>
  <si>
    <t>Итого затраты по амортизации:</t>
  </si>
  <si>
    <t>Дефектоскопия оборудования</t>
  </si>
  <si>
    <t>Указать наименование оборудования</t>
  </si>
  <si>
    <t>Эксплуатация механизмов</t>
  </si>
  <si>
    <t>Примечание</t>
  </si>
  <si>
    <t xml:space="preserve">7 </t>
  </si>
  <si>
    <t xml:space="preserve">8 </t>
  </si>
  <si>
    <t xml:space="preserve">9 </t>
  </si>
  <si>
    <t xml:space="preserve">11 </t>
  </si>
  <si>
    <t xml:space="preserve">13 </t>
  </si>
  <si>
    <t xml:space="preserve">15 </t>
  </si>
  <si>
    <t>17</t>
  </si>
  <si>
    <t>тн</t>
  </si>
  <si>
    <t>18</t>
  </si>
  <si>
    <t>ИТОГО время</t>
  </si>
  <si>
    <t xml:space="preserve"> с грузом </t>
  </si>
  <si>
    <t xml:space="preserve">без груза </t>
  </si>
  <si>
    <t>На монтаж</t>
  </si>
  <si>
    <t>Стоимость всего с учетом возврата, руб.</t>
  </si>
  <si>
    <t>Возврат- 80%</t>
  </si>
  <si>
    <t>(через дробь указать тоннаж)</t>
  </si>
  <si>
    <t>Итого  затрат</t>
  </si>
  <si>
    <t>6.1</t>
  </si>
  <si>
    <t>6.2</t>
  </si>
  <si>
    <t>№                                       п/п</t>
  </si>
  <si>
    <t>Стоимость работ  на скважину, руб</t>
  </si>
  <si>
    <t xml:space="preserve">ФОТ буровой бригады (без учета ЕСН) </t>
  </si>
  <si>
    <t>Работа бульдозера</t>
  </si>
  <si>
    <t>ИТОГО прямые затраты</t>
  </si>
  <si>
    <t>Инженерное сопровождение буровых растворов
 (с учетом стоимости химреагентов)</t>
  </si>
  <si>
    <t>Завоз обсадной трубы</t>
  </si>
  <si>
    <t>Прочий транспорт</t>
  </si>
  <si>
    <t>ИТОГО с накладными расходами</t>
  </si>
  <si>
    <t>Стоимость 1м проходки, руб с НДС</t>
  </si>
  <si>
    <t>3.1.</t>
  </si>
  <si>
    <t>3.2.</t>
  </si>
  <si>
    <t>3.3.</t>
  </si>
  <si>
    <t>3.4.</t>
  </si>
  <si>
    <t>(подпись, печать)</t>
  </si>
  <si>
    <t>Статьи затрат</t>
  </si>
  <si>
    <t>(Должность)</t>
  </si>
  <si>
    <t>(ФИО)</t>
  </si>
  <si>
    <t>ГСМ для энергокомплекса</t>
  </si>
  <si>
    <t>ИТОГО стоимость 1 суток без НДС</t>
  </si>
  <si>
    <t>ВСЕГО стоимость 1 суток с НДС</t>
  </si>
  <si>
    <t xml:space="preserve">(Расшифровать номенклатуру используемых при монтаже материалов с учетом возврата стоимости материалов) </t>
  </si>
  <si>
    <t>Энергозатраты (ДЭС)</t>
  </si>
  <si>
    <t>Электроэнергия (ЛЭП)</t>
  </si>
  <si>
    <t>Перевозка вахт</t>
  </si>
  <si>
    <t>Накладные расходы 72% (с учетом ЕСН)  от ФОТ</t>
  </si>
  <si>
    <t>Накладные расходы 58% (с учетом ЕСН) от ФОТ</t>
  </si>
  <si>
    <t>Сметная прибыль 48% от ФОТ</t>
  </si>
  <si>
    <t>Сметная прибыль 32 % от ФОТ</t>
  </si>
  <si>
    <t>(если работы выполняются субподрядчиком)</t>
  </si>
  <si>
    <t>Субподрядчик:</t>
  </si>
  <si>
    <t>6.1.</t>
  </si>
  <si>
    <t>6.2.</t>
  </si>
  <si>
    <t>(наименование организации, ИНН)</t>
  </si>
  <si>
    <t>Итого затрат по механизмам:</t>
  </si>
  <si>
    <t>Транспортныеуслуги</t>
  </si>
  <si>
    <t>Итого затраты по дефектоскопии:</t>
  </si>
  <si>
    <t>Итого  затраты:</t>
  </si>
  <si>
    <t>Итого   затрат:</t>
  </si>
  <si>
    <t>Указать состав бригады (профессия, разряд и количество чел.)</t>
  </si>
  <si>
    <t>Указать состав бригады (профессия, разряд и количество чел., продолжительность работы в сутки)</t>
  </si>
  <si>
    <t>Бурение, крепление без доп. работ</t>
  </si>
  <si>
    <t>Дополнительные работы:</t>
  </si>
  <si>
    <t>Продолжительность работ, сут.</t>
  </si>
  <si>
    <t>Стоимость работ:</t>
  </si>
  <si>
    <t>1 опер.</t>
  </si>
  <si>
    <t>ИТОГО со сметной прибылью</t>
  </si>
  <si>
    <t>ВСЕГО затрат:</t>
  </si>
  <si>
    <t xml:space="preserve"> Стоимость     1 маш/час</t>
  </si>
  <si>
    <t xml:space="preserve">  к Приложению № 1</t>
  </si>
  <si>
    <t>тн.</t>
  </si>
  <si>
    <t>час.</t>
  </si>
  <si>
    <t>РАСЧЕТ №2.1</t>
  </si>
  <si>
    <t>маш/час</t>
  </si>
  <si>
    <t>Пусконаладочные работы</t>
  </si>
  <si>
    <t>Стоимость 1 суток работы бригады бурения, руб.</t>
  </si>
  <si>
    <t>Стоимость 1 суток простоя бригады бурения, руб.</t>
  </si>
  <si>
    <t>Грузо-ть</t>
  </si>
  <si>
    <t>Расст-е</t>
  </si>
  <si>
    <t>Кол-во  пробега на 1 ед. техники</t>
  </si>
  <si>
    <t>Скорость движения, км/час.</t>
  </si>
  <si>
    <t>Время в пути, час. на 1 ед. техники</t>
  </si>
  <si>
    <t>чел/час</t>
  </si>
  <si>
    <t>Услуги бурового подрядчика по сервисным услугам (3% от итога по п. 22)</t>
  </si>
  <si>
    <t>Время  ПРР на                1 ед. техники</t>
  </si>
  <si>
    <t>Время  ПРР на     1 ед. техники</t>
  </si>
  <si>
    <t>без НДС</t>
  </si>
  <si>
    <t>№п/п</t>
  </si>
  <si>
    <t>Наименование профессий</t>
  </si>
  <si>
    <t>Разряд</t>
  </si>
  <si>
    <t>Количество, чел.</t>
  </si>
  <si>
    <t>Часовая ставка со всеми доплатами и начислениями, руб.</t>
  </si>
  <si>
    <t>Месячная заработная плата всего, руб.</t>
  </si>
  <si>
    <t>ИТОГО</t>
  </si>
  <si>
    <t>Среднесуточная ставка ФОТ</t>
  </si>
  <si>
    <t>Затраты ФОТ на скважину</t>
  </si>
  <si>
    <t>РРРР</t>
  </si>
  <si>
    <t xml:space="preserve">Стоимость амортизации бурового оборудования </t>
  </si>
  <si>
    <t>Наименование оборудования</t>
  </si>
  <si>
    <t>Ед.изм</t>
  </si>
  <si>
    <t>Колич.</t>
  </si>
  <si>
    <t>Балансовая стоимость за един., руб.</t>
  </si>
  <si>
    <t>Балансовая стоимость всего, руб.</t>
  </si>
  <si>
    <t>Срок полезного использования, мес.</t>
  </si>
  <si>
    <t>Амортизация в мес., руб.</t>
  </si>
  <si>
    <t>Итого:</t>
  </si>
  <si>
    <t>Суточная ставка</t>
  </si>
  <si>
    <t>Затраты на скважину</t>
  </si>
  <si>
    <t>Стоимость амортизации  бригадного хозяйства</t>
  </si>
  <si>
    <t>Стоимость энергозатрат (ДЭС) за месяц</t>
  </si>
  <si>
    <t>Цена за ед.</t>
  </si>
  <si>
    <t>Стоимость всего за месяц, руб.</t>
  </si>
  <si>
    <t>Амортизация оборудования</t>
  </si>
  <si>
    <t>%</t>
  </si>
  <si>
    <t>ФИО</t>
  </si>
  <si>
    <t xml:space="preserve">Стоимость работы бульдозера </t>
  </si>
  <si>
    <t>Наименование техники</t>
  </si>
  <si>
    <t>Кол-во единиц техники, шт.</t>
  </si>
  <si>
    <t>Кол-во суток работы  в месяц</t>
  </si>
  <si>
    <t>Продол-сть работы в сутки, час.</t>
  </si>
  <si>
    <t>Всего, маш/час.</t>
  </si>
  <si>
    <t>Стоимость  за 1 маш/час., руб.</t>
  </si>
  <si>
    <t>Затраты по прочим материалам</t>
  </si>
  <si>
    <t>№ п.п.</t>
  </si>
  <si>
    <t xml:space="preserve">  Наименование материалов</t>
  </si>
  <si>
    <t xml:space="preserve">  Един. изм.</t>
  </si>
  <si>
    <t>Норма расхода на скважину</t>
  </si>
  <si>
    <t>Стоимость единицы, руб.</t>
  </si>
  <si>
    <t>Итого стоимость на скважину, руб.</t>
  </si>
  <si>
    <t>шт</t>
  </si>
  <si>
    <t>Износ  бурильных труб</t>
  </si>
  <si>
    <t xml:space="preserve">Наименование </t>
  </si>
  <si>
    <t>Ед. изм</t>
  </si>
  <si>
    <t>Кол-во</t>
  </si>
  <si>
    <t>Расчетный вес 1 м. трубы, тн.</t>
  </si>
  <si>
    <t>Вес трубы всего, тн.</t>
  </si>
  <si>
    <t>Стоимость                1 тн., руб.</t>
  </si>
  <si>
    <t>Износ в месяц, руб.</t>
  </si>
  <si>
    <t>Итого амортизация:</t>
  </si>
  <si>
    <t xml:space="preserve">Электроэнергия, теплоэнергия БПО </t>
  </si>
  <si>
    <t>Итого энергозатраты:</t>
  </si>
  <si>
    <t>Материалы и запчасти</t>
  </si>
  <si>
    <t>Ремонтные работы</t>
  </si>
  <si>
    <t>Итого ремонтные работы:</t>
  </si>
  <si>
    <t>ИТОГО затрат:</t>
  </si>
  <si>
    <t>Затраты на пароводоснабжение (за месяц)</t>
  </si>
  <si>
    <t xml:space="preserve">ФОТ </t>
  </si>
  <si>
    <t>Нефть</t>
  </si>
  <si>
    <t>рейс</t>
  </si>
  <si>
    <t>Коэффициент отопительного периода</t>
  </si>
  <si>
    <t>Итого затрат с учетом коэффициента отопительного периода</t>
  </si>
  <si>
    <t>Затраты на ГСМ для энергокомплекса (за месяц)</t>
  </si>
  <si>
    <t>Наименование потребителя ГСМ</t>
  </si>
  <si>
    <t>Количество, шт.</t>
  </si>
  <si>
    <t>Норма расхода кг/сутки 
на 1 ед. потребителя</t>
  </si>
  <si>
    <t>Количество топлива, кг.</t>
  </si>
  <si>
    <t>Цена руб./кг.</t>
  </si>
  <si>
    <t>Стоимость, руб.</t>
  </si>
  <si>
    <t xml:space="preserve">ИТОГО </t>
  </si>
  <si>
    <t>Затраты на транспортные услуги</t>
  </si>
  <si>
    <t>Наименование перевозимого груза (материалов)</t>
  </si>
  <si>
    <t>Грузоподъемность, тн.</t>
  </si>
  <si>
    <t>Количество рейсов, шт.</t>
  </si>
  <si>
    <t>Расстояние перевозки, км.</t>
  </si>
  <si>
    <t>Ср. тех. скорость, км.</t>
  </si>
  <si>
    <t>Продолжи-ть          1 рейса, час.</t>
  </si>
  <si>
    <t>Время  работы всего, час.</t>
  </si>
  <si>
    <t>Пробег всего, км.</t>
  </si>
  <si>
    <t>Тариф, руб.</t>
  </si>
  <si>
    <t>Затраты на скважину всего, руб.</t>
  </si>
  <si>
    <t>за час.</t>
  </si>
  <si>
    <t>за км.</t>
  </si>
  <si>
    <t>за время работы</t>
  </si>
  <si>
    <t>за пробег</t>
  </si>
  <si>
    <t>всего</t>
  </si>
  <si>
    <t>Суточная ставка по завозу ГСМ</t>
  </si>
  <si>
    <t xml:space="preserve"> указать марку а/транспорта, какие материалы перевозит и вес в тн.</t>
  </si>
  <si>
    <t>Итого затраты по  прочему транспорту:</t>
  </si>
  <si>
    <t>Итого затраты по транспортировке вахт:</t>
  </si>
  <si>
    <t>Суточная ставка по перевозке вахт</t>
  </si>
  <si>
    <t xml:space="preserve">Указать численно-квалификационный состав бригады </t>
  </si>
  <si>
    <t>Количество часов работы в месяц на             1 работника</t>
  </si>
  <si>
    <t>Месячная заработная плата на                  1 работника, руб.</t>
  </si>
  <si>
    <t>Трал</t>
  </si>
  <si>
    <t>Обслуживание авар.ДЭС</t>
  </si>
  <si>
    <t>Пропуска за негабаритный груз</t>
  </si>
  <si>
    <t>1.4</t>
  </si>
  <si>
    <t>1.5</t>
  </si>
  <si>
    <t>1.6</t>
  </si>
  <si>
    <t>1.7</t>
  </si>
  <si>
    <t>1.8</t>
  </si>
  <si>
    <t>1.9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</si>
  <si>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</si>
  <si>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3.3</t>
  </si>
  <si>
    <t>3.4</t>
  </si>
  <si>
    <t>3.5</t>
  </si>
  <si>
    <t>3.6</t>
  </si>
  <si>
    <t>3.7</t>
  </si>
  <si>
    <t>3.8</t>
  </si>
  <si>
    <t>кг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</si>
  <si>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</si>
  <si>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</si>
  <si>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</si>
  <si>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</si>
  <si>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</si>
  <si>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</si>
  <si>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</si>
  <si>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</si>
  <si>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</si>
  <si>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бал</t>
  </si>
  <si>
    <t xml:space="preserve">кг </t>
  </si>
  <si>
    <t>м.</t>
  </si>
  <si>
    <t>3.5.</t>
  </si>
  <si>
    <t>3.6.</t>
  </si>
  <si>
    <t>ГСМ</t>
  </si>
  <si>
    <t>4.3</t>
  </si>
  <si>
    <t>4.4</t>
  </si>
  <si>
    <t>4.5</t>
  </si>
  <si>
    <t>4.6</t>
  </si>
  <si>
    <t>5.3</t>
  </si>
  <si>
    <t>5.4</t>
  </si>
  <si>
    <t>5.5</t>
  </si>
  <si>
    <t>к-т</t>
  </si>
  <si>
    <t>5.6</t>
  </si>
  <si>
    <t>4.7</t>
  </si>
  <si>
    <t>4.8</t>
  </si>
  <si>
    <t>4.9</t>
  </si>
  <si>
    <t>км</t>
  </si>
  <si>
    <t xml:space="preserve">Затраты на скважину </t>
  </si>
  <si>
    <t xml:space="preserve">Срок полезного использования </t>
  </si>
  <si>
    <t>мес.</t>
  </si>
  <si>
    <t>Суточная ставка по прочему транспорту</t>
  </si>
  <si>
    <t>Суточная ставка по завозу трубы</t>
  </si>
  <si>
    <t>м/ст.мес.</t>
  </si>
  <si>
    <t xml:space="preserve">Коммерческая скорость бурения </t>
  </si>
  <si>
    <t>10.</t>
  </si>
  <si>
    <t>Имущественные платежи</t>
  </si>
  <si>
    <t>нет</t>
  </si>
  <si>
    <t>Котельная</t>
  </si>
  <si>
    <t>Завоз нефти</t>
  </si>
  <si>
    <t>Ликвидация артезианской скважины</t>
  </si>
  <si>
    <t>Вид работ</t>
  </si>
  <si>
    <t>Ед.
изм.</t>
  </si>
  <si>
    <t xml:space="preserve">Стоимость, руб. без НДС  </t>
  </si>
  <si>
    <t>кол-во</t>
  </si>
  <si>
    <t>Итого стоимость, рублей</t>
  </si>
  <si>
    <t xml:space="preserve"> без НДС</t>
  </si>
  <si>
    <t>с НДС</t>
  </si>
  <si>
    <t>Расчет №1</t>
  </si>
  <si>
    <t>в том числе:</t>
  </si>
  <si>
    <t xml:space="preserve">Монтаж буровой установки </t>
  </si>
  <si>
    <t xml:space="preserve">Пусконаладочные работы </t>
  </si>
  <si>
    <t>5.1.</t>
  </si>
  <si>
    <t xml:space="preserve">Демонтаж буровой установки </t>
  </si>
  <si>
    <t>Расчет №5.1</t>
  </si>
  <si>
    <t>5.2.</t>
  </si>
  <si>
    <t xml:space="preserve">Ликвидация артезианской скважины </t>
  </si>
  <si>
    <t xml:space="preserve">Демобилизация буровой установки </t>
  </si>
  <si>
    <t>Расчет № 6</t>
  </si>
  <si>
    <t>ИТОГО вышкомонтажные работы</t>
  </si>
  <si>
    <t>Бурение и крепление (без учета затрат на обсадную трубу, фильтры, ПХН) , всего</t>
  </si>
  <si>
    <t>Расчет №8.1</t>
  </si>
  <si>
    <t>9.1.</t>
  </si>
  <si>
    <t>ВСЕГО</t>
  </si>
  <si>
    <t xml:space="preserve"> к Приложению № 1</t>
  </si>
  <si>
    <t>Сметная прибыль 48 % ФОТ</t>
  </si>
  <si>
    <t>РАСЧЕТ №2.2</t>
  </si>
  <si>
    <r>
      <t xml:space="preserve">Продолжительность бурения скважины </t>
    </r>
    <r>
      <rPr>
        <b/>
        <sz val="11"/>
        <rFont val="Times New Roman"/>
        <family val="1"/>
        <charset val="204"/>
      </rPr>
      <t/>
    </r>
  </si>
  <si>
    <t>РАСЧЕТ № 5.1</t>
  </si>
  <si>
    <t>к Расчету № 8.1 (№ 8.4, № 8.5)  Приложения № 1</t>
  </si>
  <si>
    <t>Расчет № 8.1.1(№ 8.4.1, № 8.5.1)</t>
  </si>
  <si>
    <t>к Расчету № 8.1 (№ 8.4,  №  8.5) Приложения №1</t>
  </si>
  <si>
    <t>Расчет № 8.1.2 (№ 8.4.2,  №  8.5.2)</t>
  </si>
  <si>
    <t>Расчет № 8.1.3 (№ 8.4.3, № 8.5.3)</t>
  </si>
  <si>
    <t>Расчет № 8.1.4 (№ 8.4.4, № 8.5.4)</t>
  </si>
  <si>
    <t>Расчет № 8.1.6 (№ 8.4.6, № 8.5.6)</t>
  </si>
  <si>
    <t xml:space="preserve"> Расчет № 8.1.7 (№ 8.4.7, № 8.5.7)</t>
  </si>
  <si>
    <t>Расчет № 8.1.8 (№ 8.4.8, № 8.5.8)</t>
  </si>
  <si>
    <t>к Расчету № 8.1( № 8.4, №  8.5) Приложения № 1</t>
  </si>
  <si>
    <t>РАСЧЕТ № 8.1.9 (№ 8.4.9, № 8.5.9)</t>
  </si>
  <si>
    <t>РАСЧЕТ № 8.1.10 (№ 8.4.10, № 8.5.10)</t>
  </si>
  <si>
    <t>к Расчету № 8.1 (№8.4, №8.5)  Приложения № 1</t>
  </si>
  <si>
    <t>РАСЧЕТ № 8.1.12 (№ 8.4.12, № 8.5.12)</t>
  </si>
  <si>
    <t>РАСЧЕТ № 8.1.24 (№ 8.4.24, № 8.5.24)</t>
  </si>
  <si>
    <t xml:space="preserve"> к  Приложению №1</t>
  </si>
  <si>
    <t>Расчет № 13</t>
  </si>
  <si>
    <t>ГСМ для МБУ и бур.насосов</t>
  </si>
  <si>
    <t>Работы по креплению скв. (с уч. цемента), в т.ч.: -оснастка обсадных колонн</t>
  </si>
  <si>
    <t xml:space="preserve">Аренда энергокомплекса </t>
  </si>
  <si>
    <t xml:space="preserve">Завоз ГСМ </t>
  </si>
  <si>
    <t>1.3.</t>
  </si>
  <si>
    <t xml:space="preserve"> с грузом         </t>
  </si>
  <si>
    <t>5.3.</t>
  </si>
  <si>
    <t>10.1.</t>
  </si>
  <si>
    <t>10.2.</t>
  </si>
  <si>
    <t>куст №</t>
  </si>
  <si>
    <t>месторождение</t>
  </si>
  <si>
    <t>основной ствол</t>
  </si>
  <si>
    <t>тип БУ</t>
  </si>
  <si>
    <t>к Приложению № 1</t>
  </si>
  <si>
    <t>Расчет № 8.1</t>
  </si>
  <si>
    <t>куст</t>
  </si>
  <si>
    <t>Тип буровой установки</t>
  </si>
  <si>
    <t xml:space="preserve">Расстояние до объекта                        </t>
  </si>
  <si>
    <t>Проходка по скважине</t>
  </si>
  <si>
    <t>СВОДНЫЙ РАСЧЕТ</t>
  </si>
  <si>
    <t xml:space="preserve">Продолжительность монтажных работ </t>
  </si>
  <si>
    <t>РАСЧЕТ  №2.3</t>
  </si>
  <si>
    <t xml:space="preserve">Затраты на демонтаж буровой установки                                                                                                           </t>
  </si>
  <si>
    <t>Дизельное топливо для ДЭС</t>
  </si>
  <si>
    <r>
      <t xml:space="preserve">Продолжительность передвижки </t>
    </r>
    <r>
      <rPr>
        <b/>
        <sz val="11"/>
        <rFont val="Times New Roman"/>
        <family val="1"/>
        <charset val="204"/>
      </rPr>
      <t/>
    </r>
  </si>
  <si>
    <t>НДС 20%</t>
  </si>
  <si>
    <t>2.3</t>
  </si>
  <si>
    <t>2.4</t>
  </si>
  <si>
    <t>2.5</t>
  </si>
  <si>
    <t>2</t>
  </si>
  <si>
    <t>3</t>
  </si>
  <si>
    <t>(расшифровка подписи)</t>
  </si>
  <si>
    <t xml:space="preserve">             Приложение №1 к форме №3 "Коммерческое предложение"</t>
  </si>
  <si>
    <t>Расчет №2.1</t>
  </si>
  <si>
    <t>Расчет №2.2</t>
  </si>
  <si>
    <t>Расчет №2.3</t>
  </si>
  <si>
    <t>Расчет №12</t>
  </si>
  <si>
    <t xml:space="preserve">Тип буровой установки </t>
  </si>
  <si>
    <t>Пусконаладочные работы СВП</t>
  </si>
  <si>
    <t xml:space="preserve">Затраты на демобилизацию БУ и бригадного хозяйства после строительства  скважины </t>
  </si>
  <si>
    <t xml:space="preserve">Затраты на мобилизацию БУ и бригадного хозяйства для строительства  скважины </t>
  </si>
  <si>
    <t xml:space="preserve">Затраты на монтаж буровой установки  БУ </t>
  </si>
  <si>
    <t xml:space="preserve"> Суточная ставка работы и простоя бригады бурения при строительстве скважины</t>
  </si>
  <si>
    <t>15.1</t>
  </si>
  <si>
    <t>15.2</t>
  </si>
  <si>
    <t>1.1.</t>
  </si>
  <si>
    <t>1.2.</t>
  </si>
  <si>
    <t>№ скважины</t>
  </si>
  <si>
    <t>Проектный забой</t>
  </si>
  <si>
    <t>рублей без НДС</t>
  </si>
  <si>
    <t>Стоимость работы ННБ</t>
  </si>
  <si>
    <t>ед. изм</t>
  </si>
  <si>
    <t>работа</t>
  </si>
  <si>
    <t>ожидание</t>
  </si>
  <si>
    <t>руб./сут.</t>
  </si>
  <si>
    <t>Наименование секции</t>
  </si>
  <si>
    <t>от</t>
  </si>
  <si>
    <t>до</t>
  </si>
  <si>
    <t>Количество дней работы</t>
  </si>
  <si>
    <t>Количество дней ожидание</t>
  </si>
  <si>
    <t>Стоимость ННБ (работа)</t>
  </si>
  <si>
    <t>Стоимость ННБ (ожидание)</t>
  </si>
  <si>
    <t>мобил/демоб оборуд.ННБ</t>
  </si>
  <si>
    <t>напр</t>
  </si>
  <si>
    <t>конд</t>
  </si>
  <si>
    <t>экс.кол.</t>
  </si>
  <si>
    <t>Для коммерческого предложения</t>
  </si>
  <si>
    <t>Прокат Яс</t>
  </si>
  <si>
    <t>Силовой верхний привод</t>
  </si>
  <si>
    <t>Стоимость метра бурения</t>
  </si>
  <si>
    <t>руб./м</t>
  </si>
  <si>
    <t>5.4.</t>
  </si>
  <si>
    <t>5.5.</t>
  </si>
  <si>
    <t>5.6.</t>
  </si>
  <si>
    <t>5.7.</t>
  </si>
  <si>
    <t>Скважина</t>
  </si>
  <si>
    <t>Куст</t>
  </si>
  <si>
    <t>Месторождение</t>
  </si>
  <si>
    <t xml:space="preserve">Примечание </t>
  </si>
  <si>
    <t>№</t>
  </si>
  <si>
    <t>1</t>
  </si>
  <si>
    <t>4</t>
  </si>
  <si>
    <t>5</t>
  </si>
  <si>
    <t>ЦСГО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</si>
  <si>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</si>
  <si>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</si>
  <si>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</si>
  <si>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</si>
  <si>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</si>
  <si>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</si>
  <si>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</si>
  <si>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</si>
  <si>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</si>
  <si>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</si>
  <si>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</si>
  <si>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</si>
  <si>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</si>
  <si>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</si>
  <si>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</si>
  <si>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</si>
  <si>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</si>
  <si>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</si>
  <si>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</si>
  <si>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</si>
  <si>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</si>
  <si>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</si>
  <si>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</si>
  <si>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</si>
  <si>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</si>
  <si>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</si>
  <si>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</si>
  <si>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</si>
  <si>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</si>
  <si>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</si>
  <si>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План-График</t>
  </si>
  <si>
    <t xml:space="preserve">Сетевой график цикла строительства буровой установки </t>
  </si>
  <si>
    <t>Демонтаж</t>
  </si>
  <si>
    <t>чел часы</t>
  </si>
  <si>
    <t>Стоимость, %</t>
  </si>
  <si>
    <t>Текущее выполение, %</t>
  </si>
  <si>
    <t>Дни</t>
  </si>
  <si>
    <t xml:space="preserve"> КРУНБ,ЭБ,компрессорный.</t>
  </si>
  <si>
    <t>Крепежа основания ЭБ,кабельной продукции,(энергоблок в целом + основание),компремсорный блок.</t>
  </si>
  <si>
    <t>основание, тумбы 2шт,</t>
  </si>
  <si>
    <t>Превышечное</t>
  </si>
  <si>
    <t xml:space="preserve">Стелажи,приемный мост, 8КП-2, блок дросселирования, ГУП-100 </t>
  </si>
  <si>
    <t>Насосоный блок</t>
  </si>
  <si>
    <t>Разбалчивание БО (обвязка), привод БН, обвязки, ПВЛ, освещение,кабельная продукция</t>
  </si>
  <si>
    <t>Корпоративного укрытия,панели укрытия,привод БН, Бур.насосы, ПВЛ, ШН подпорные, лестница, обвязка</t>
  </si>
  <si>
    <t>Разбалчивание,д/ж основания, рамы ,площадки, колесные пары.</t>
  </si>
  <si>
    <t>Емкостной блок</t>
  </si>
  <si>
    <t>Бур. Укрытий (корпоративный),кабельная продукция (РЩ, освещение, перемешиватели, ШНы),укрытие, региля, лестницы переходы, верхния обвязка емкостей.</t>
  </si>
  <si>
    <t>Коммоникации под эшелоном, обвязка , д/ж емкости 4шт, ШН, ФСУ,.винтовых насосов,</t>
  </si>
  <si>
    <t>Разбалчивание основания, д/ж рамы, площадки основания, колесные пары.</t>
  </si>
  <si>
    <t>Д/ж корпоративного Бур.укрытия,насщельники,д/ж панелей укрытия,ригеля стойки,верхняя обвязка емкостей,площадок.</t>
  </si>
  <si>
    <t>Отключение центрифуг, вибросит, илоотделителей , ГШН,звуковых сигналов, и кабельной продукции,желобов кабельной продукции</t>
  </si>
  <si>
    <t xml:space="preserve">Разкрепление оборудования,растворная линия бвязка БО,д/ж центрифуг,дегазатор, шнека,основание под шнек,к,3-х ГШН,ФСУ </t>
  </si>
  <si>
    <t>Емкостя,площадок основания,колесных пар,коммуникации под эшелоном, кабельной продукции.</t>
  </si>
  <si>
    <t>ВЛБ</t>
  </si>
  <si>
    <t>Разбалчивание болтовых соединений,доливная емкость,ветровые панели ВЛБ,бухта тк,кронштейны УМК, основание долива, подсвечники. Цепь ротора, кожухи, УТК</t>
  </si>
  <si>
    <t>Укрытие силового блока, СВП (модули управления),СВП, балки гашения.</t>
  </si>
  <si>
    <t>Освещение, кабель свп, ПР к опусканию мачты,разключение кабельной продукции.</t>
  </si>
  <si>
    <t>ПР к опусканию мачты,опускание,д/ж навесного оборудования,д/ж мачты.</t>
  </si>
  <si>
    <t>Разбалчивание БО,д/ж угловых панелей ВЛБ,д/ж порталов,боковых площадок роторного стола.</t>
  </si>
  <si>
    <t>Д/ж центральной рамы,подроторных ферм,площадок основания КПЦ,авар.прривода,д/ж лебедки,рама лебедки.</t>
  </si>
  <si>
    <t>Д/ж транспортировочных балок, промежуточные балки,д/ж лонжеронов.</t>
  </si>
  <si>
    <t>ЖДО</t>
  </si>
  <si>
    <t>направляющих тумб и поясов,лежневого фундамента, заземление.</t>
  </si>
  <si>
    <t>БДЕ,Водоблок.</t>
  </si>
  <si>
    <t>22</t>
  </si>
  <si>
    <t>Бур.укрытие,Укрытие,обвязка ГШН,обвязка емкостей,освещение,ЭМР,переходы.</t>
  </si>
  <si>
    <t>Емкости,основания,площ.лестницы,гшн.</t>
  </si>
  <si>
    <t>Котельная установка</t>
  </si>
  <si>
    <t>Расход.ем, основание, обвязка.</t>
  </si>
  <si>
    <t>Модуля котельной</t>
  </si>
  <si>
    <t>Вспом</t>
  </si>
  <si>
    <t>Сборка кабельной продукции.</t>
  </si>
  <si>
    <t>Погрузка БО</t>
  </si>
  <si>
    <t>Зачистка КП</t>
  </si>
  <si>
    <t>Общее</t>
  </si>
  <si>
    <t xml:space="preserve">Процент выполнения </t>
  </si>
  <si>
    <t xml:space="preserve">Суточный Процент выполнения </t>
  </si>
  <si>
    <t>Монтаж</t>
  </si>
  <si>
    <t>подключение и протаскивание каб продукции, подключение освещения рельсовых путей.</t>
  </si>
  <si>
    <t>Разбивка разметка,м/ж лежневого фундамента под направляющие,м/ж направляющих,м/ж межтумбовых поясов,протяжка.</t>
  </si>
  <si>
    <t>Совмещеный блок</t>
  </si>
  <si>
    <t>Тумбы, основание сов.блока,монтаж КТУ+КРУ,кабельная продукция.</t>
  </si>
  <si>
    <t>НБ</t>
  </si>
  <si>
    <t>М/ж направляющих ЖДО,Колесных пар,площадок основания, буровых насосов, 2-х синхронных двигателей,кожухов бур.насосов,текстильные ремни,у,протяжка болтовых соединений.</t>
  </si>
  <si>
    <t>ШН, ПВЛ, полы,,шибера, каркас укрытия,протяжка болтовых соединений,панели укрытия,центровка насоса.</t>
  </si>
  <si>
    <t>Протаскивание и подключение кабелей подпорных насосов, установка щитов цепей управления ЗД-1 и ЗД-2 и протаскивание к ним кабельной продукции,Подключение силовых кабелей БСУ ЗД-1 и ЗД-2,Освещение</t>
  </si>
  <si>
    <t xml:space="preserve">Утепление, дефлекторы,заделка проемов,м/ж кран-балки,корпоративное укрытие,Обвязка ПВЛ, дренажей,обвязка нагнетательной линии (тройник, гибкие вставки),опрессовка манифольда,ремонт полов. </t>
  </si>
  <si>
    <t>ЕБ</t>
  </si>
  <si>
    <t>М/ж направляющих ЖДО,колесных пар,площадок основания,межблочных тяг,крепление.</t>
  </si>
  <si>
    <t>М/ж емкостей,СМР и ремонтные работы в ЕБ,М/ж болтовых соединений растворной линии, шиберных задвижек,обвязки растворных коммуникаций,ПВЛ линия,сварочные работы по ПВЛ.</t>
  </si>
  <si>
    <t>М/ж ГШН обвязка, м/ж винтовые насосы,сброс.линии центрефуг,гидроворонка, ПВЛ, каркас укрытия, панели укрытия,кранбалка,тельфер,обвязка ПВЛ,корпоративное укрытие,дренажные линии.</t>
  </si>
  <si>
    <t>Кабельная продукция,ЭМР,подключение оборудования,заземление, м/ж освещения.</t>
  </si>
  <si>
    <t>Напраляющих ЖДО,колесных пар,площадок основания,межблочных тяг,крепление.</t>
  </si>
  <si>
    <t>М/ж емкостей,внутриннего и наружнего шнека,ФСУ, вибросит,ШН, центрифуг,растворной линии,СМР видимого заземления дегазатора, центрифуг,обвязка долива,песко-илоотделитель,переходы,площадки.</t>
  </si>
  <si>
    <t>Ремонт площадок обслуживания вибросит и центрифуг,установка шиберов,протяжка шиберов,площадка лестницы, обвязка линии ЦС,м/ж панелей укрытия крышевых,торцевых,обрешётка проемов.</t>
  </si>
  <si>
    <t>Протаскивание и подключение винтовых насосов, ГШН, внутреннего шнека, центрифуг, кнопочного поста вибросит,дегазатора, освещение,заземление.</t>
  </si>
  <si>
    <t>Обвязка дренажей,М/ж утепления корпоративного укрытия,обвязка ФСУ, гидроворонка,сварочные работы по изготовлению линии и обвязка перекачивающих насосов,экологичка,обвязка ПВЛ.</t>
  </si>
  <si>
    <t>Эшелон</t>
  </si>
  <si>
    <t>Кронштейны ПВО,ремонт переходных площадок, маршевых лестниц и перильных ограждений,корпоративное укрытие,контур заземления,покраска оборудования,</t>
  </si>
  <si>
    <t>Обвязка денажной линии,натяжка провода ЛЭП,огрождение опр ЛЭП,изоляция ПВЛ,ЭМР.</t>
  </si>
  <si>
    <t>Лонжероны,Межлонжеронные балки с поясами,монтаж транспортировочной балки,монтаж ферм с поясами,основание лебёдочного блока,площадки силового блока, станции управления ВСП.,Забалчивание болтовых соединений площадок.</t>
  </si>
  <si>
    <t>Роторного стола,КПЦ, портала,боковой площадки на ротре,2 х подроторных площадок,площадок обслуживания ПВО,контейнера СВП,аварийный привод, Марш лесницы,площадка боковая,панели,транспортировочная балка,протяжка лебедочного и подроторного блока.</t>
  </si>
  <si>
    <t>Сборка секций мачты вышки,монтаж стоек опоры вышки,диагональных поясов. Подготовительные работы к монтажу кронблока,секции вышки,кронблока,оснастки УПВ на крюкоблок,туннельные лестницы на кронблоке,секции на лонжерон,запасовка т.оснастки на лебёдку и на неподвижную ветвь тал.каната.</t>
  </si>
  <si>
    <t>ЭМР по мачте вышки(фонари, прокладка кабелей, ревизия фонарей освещения балкона вехового),ремогт балкона верхового,м/ж страховок по вышке,ПР к подъему,подъем вышки,крепление.</t>
  </si>
  <si>
    <t>Вспомогательной лебёдки, 4х панелей укрытия рабочей площадки, балки крепления направляющей СВП, подключение вспом. Лебёдки,ПР к монтажу устьевого жёлоба, стойки КП8,балок крепления направляющих СВП, запасовка вспомлебёдки.</t>
  </si>
  <si>
    <t>М/ж доливной ёмкости, лестничной площадка подъёма на ротор, помещения для отдыха буровой бригады, трансформатора СВП,направляющей и СВП,кабельная подвеска СВП,обвязка ПВЛ.</t>
  </si>
  <si>
    <t>Обвязка нагнетательной линии (тройник, гибкие вставки),кожух цепи КРБ, ЛБУ, кронштейны, дроссельная,желоб, доливная линия, линии ВШН,кожух цепи ротора,протяжка,центровка СВП.</t>
  </si>
  <si>
    <t>Сборка и м/ж ригелей коркаса,панели укрытия силового блока,утипление корпоративным укрытием.</t>
  </si>
  <si>
    <t>М/ж приемного моста,наклонный козырек и стелажи,обвязка гидравлической линии перемещения и выравнивания вышки (домкраты, толкатели).</t>
  </si>
  <si>
    <t>БДЕ</t>
  </si>
  <si>
    <t>Плиты ЖБИ под основание БДЕ,площадки основания,емкостя БДЕ</t>
  </si>
  <si>
    <t>М/ш ШНГ,обвязка БДЕ и растворных линий.</t>
  </si>
  <si>
    <t>Подключение и протаскивание каб продукции,перемешивателей, ГШН, кнопочного поста перемешивателей,Протаскивание кабельной прод от БКРУ до БДЕ,Подключение,освещение,заземление.</t>
  </si>
  <si>
    <t>Стойки под каркас БДЕ,ригеля,панели укрытия,утипление,нащельники.</t>
  </si>
  <si>
    <t>крепеж запорной арматуры, обвязка линий ,перильные ограждения.</t>
  </si>
  <si>
    <t>ЖБ плиты,оборудования парка емкостей, площадка обслуживания емкости,тоннельной лестницы,коллектор.</t>
  </si>
  <si>
    <t>Основание под котельную,модуля КУ,дымогарных труб КУ,оттяжек дымогарных труб,нащельников между основаниями,лестницы.</t>
  </si>
  <si>
    <t>Обвязка ПВЛ с выходом на наружние коммуникации,линия ПВЛ от КУ до БУ,контур заземления.</t>
  </si>
  <si>
    <t>Водоблок</t>
  </si>
  <si>
    <t>М/ж основания , емкости,коллектор ШН, лестница с площадкой, каркас укрытия водоблока,крышевые панели, обрешётка, утепление укрытия.</t>
  </si>
  <si>
    <t xml:space="preserve">Обвязка с выходом на укладку наружных коммуникаций,обрешетка укрытия. </t>
  </si>
  <si>
    <t>Разгрузка БО</t>
  </si>
  <si>
    <t>Телеметрическое сопровождение бурения, в т.ч</t>
  </si>
  <si>
    <t>Инженерное сопровождение долотами (с учетом стоимости долот)</t>
  </si>
  <si>
    <t>Маршрут (расстояние до объекта в одну сторону от базы)</t>
  </si>
  <si>
    <t>База</t>
  </si>
  <si>
    <t>Маршрут (расстояние до объекта в одну сторону с места дислокации БУ)</t>
  </si>
  <si>
    <t>Монтаж буровой установки, всего
в том числе:</t>
  </si>
  <si>
    <t>Расчет №6</t>
  </si>
  <si>
    <t>Пусконаладочные работы с СВП</t>
  </si>
  <si>
    <t>Передвижки буровой установки, всего
в том числе:</t>
  </si>
  <si>
    <t>Демонтаж буровой установки, всего
в том числе:</t>
  </si>
  <si>
    <t>Куст №</t>
  </si>
  <si>
    <t>Расчет №2.4</t>
  </si>
  <si>
    <t>Тип БУ</t>
  </si>
  <si>
    <t>Строительство артезианских скважин</t>
  </si>
  <si>
    <t xml:space="preserve">Услуги противофонтанной службы </t>
  </si>
  <si>
    <t>Заработная плата буровой бригады (без учета ЕСН)</t>
  </si>
  <si>
    <t>РАСЧЕТ №9</t>
  </si>
  <si>
    <t xml:space="preserve">м³ </t>
  </si>
  <si>
    <t>РАСЧЕТ № 2.4.1</t>
  </si>
  <si>
    <t>Технологическое стаскивание</t>
  </si>
  <si>
    <t>Продолжительность бурения скважины, всего</t>
  </si>
  <si>
    <t>Прораб</t>
  </si>
  <si>
    <t>Вышкомонтажник 6р</t>
  </si>
  <si>
    <t>Вышкомонтажник 4р 6чел</t>
  </si>
  <si>
    <t xml:space="preserve">Доставка техники до места погрузки </t>
  </si>
  <si>
    <t>Седельный тягач с тралом</t>
  </si>
  <si>
    <t>Автокран 25тн</t>
  </si>
  <si>
    <t>1.4.</t>
  </si>
  <si>
    <t>Автокран 50 тн.</t>
  </si>
  <si>
    <t>1.5.</t>
  </si>
  <si>
    <t>Бойлер</t>
  </si>
  <si>
    <t>1.6.</t>
  </si>
  <si>
    <t>Топливозаправщик</t>
  </si>
  <si>
    <t>1.7.</t>
  </si>
  <si>
    <t>УАЗ</t>
  </si>
  <si>
    <t>1.8.</t>
  </si>
  <si>
    <t>Автобус</t>
  </si>
  <si>
    <t>1.9.</t>
  </si>
  <si>
    <t>Седельный тягач с тралом (доставка плит)</t>
  </si>
  <si>
    <t>1.10.</t>
  </si>
  <si>
    <t xml:space="preserve">С/тягач с тралом </t>
  </si>
  <si>
    <t xml:space="preserve">С/тягач с полуприцепом </t>
  </si>
  <si>
    <t>3.7.</t>
  </si>
  <si>
    <t>3.8.</t>
  </si>
  <si>
    <t>Трубовоз-доставка бур труб</t>
  </si>
  <si>
    <t>ИТОГО техника</t>
  </si>
  <si>
    <t>Трактор Т-170</t>
  </si>
  <si>
    <t xml:space="preserve">Кран тракторный КТМ-6,3 </t>
  </si>
  <si>
    <t>ИТОГО работа техники:</t>
  </si>
  <si>
    <t>Проезд от месторождения до базы: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</si>
  <si>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</si>
  <si>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</si>
  <si>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</si>
  <si>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</si>
  <si>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</si>
  <si>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</si>
  <si>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</si>
  <si>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</si>
  <si>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</si>
  <si>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11.10.</t>
  </si>
  <si>
    <t>Зарплата бригады стропальщиков</t>
  </si>
  <si>
    <t>Работа ДЭС-100</t>
  </si>
  <si>
    <t>Работа ДЭС-30</t>
  </si>
  <si>
    <t xml:space="preserve">Накладные расходы 72% ФОТ </t>
  </si>
  <si>
    <t>Перевоз бригадного хоз-ва м/у скв.</t>
  </si>
  <si>
    <t>Итого работа техники</t>
  </si>
  <si>
    <t>м2</t>
  </si>
  <si>
    <t xml:space="preserve">Трактор Т170 </t>
  </si>
  <si>
    <t>м3</t>
  </si>
  <si>
    <t>3.18</t>
  </si>
  <si>
    <t>3.19</t>
  </si>
  <si>
    <t>3.20</t>
  </si>
  <si>
    <t>3.21</t>
  </si>
  <si>
    <t>Автокран 50т</t>
  </si>
  <si>
    <t>Автокран 25т</t>
  </si>
  <si>
    <t>УАЗ дежурная а/м</t>
  </si>
  <si>
    <t>час (км)</t>
  </si>
  <si>
    <t>Вышкомонтажник 5р 9чел</t>
  </si>
  <si>
    <t xml:space="preserve">Бойлер (питьевая вода) </t>
  </si>
  <si>
    <t>Амортизация БО</t>
  </si>
  <si>
    <t>Амортизация БХ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</si>
  <si>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</si>
  <si>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</si>
  <si>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</si>
  <si>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</si>
  <si>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</si>
  <si>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</si>
  <si>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</si>
  <si>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</si>
  <si>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</si>
  <si>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</si>
  <si>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Работа спецтехники</t>
  </si>
  <si>
    <t>компл.</t>
  </si>
  <si>
    <t>Емкости</t>
  </si>
  <si>
    <t>Вагончики</t>
  </si>
  <si>
    <t>сутки</t>
  </si>
  <si>
    <t>Всего на прочие материалы</t>
  </si>
  <si>
    <t>суточная ставка</t>
  </si>
  <si>
    <t>Асташкин В.В.</t>
  </si>
  <si>
    <t xml:space="preserve">              (подпись, печать)</t>
  </si>
  <si>
    <t>СПИ, мес</t>
  </si>
  <si>
    <t>Балансовая стоимость</t>
  </si>
  <si>
    <t>Амортизация</t>
  </si>
  <si>
    <t>ВЛЭП</t>
  </si>
  <si>
    <t>Изготовление пологов</t>
  </si>
  <si>
    <t>Суточная ставка на бур. установку</t>
  </si>
  <si>
    <t>Аренда котельной с оператором</t>
  </si>
  <si>
    <t>Кол-во суток бурения</t>
  </si>
  <si>
    <t>Обсадные трубы</t>
  </si>
  <si>
    <t xml:space="preserve">Продолжительность демонтажных работ </t>
  </si>
  <si>
    <t>Ликвидация водяной скважины</t>
  </si>
  <si>
    <t>Наименование работ</t>
  </si>
  <si>
    <t>кол-во, час</t>
  </si>
  <si>
    <t>Расстояние, км</t>
  </si>
  <si>
    <t>кол-во, м3</t>
  </si>
  <si>
    <t xml:space="preserve">Стоимость </t>
  </si>
  <si>
    <t>Стоимость км пробега</t>
  </si>
  <si>
    <t>Всего</t>
  </si>
  <si>
    <t>накладные расходы</t>
  </si>
  <si>
    <t>плановые накопления</t>
  </si>
  <si>
    <t>Директор ООО "УК "РЕСУРС" Управляющей компании ООО "Отрадное"</t>
  </si>
  <si>
    <t xml:space="preserve">Расчет стоимости доставки керна до кернохранилища в г.Оренбург </t>
  </si>
  <si>
    <t xml:space="preserve">г.Оренбург - г.Отрадный </t>
  </si>
  <si>
    <t>Кол-во рейсов</t>
  </si>
  <si>
    <t>Скорость движения</t>
  </si>
  <si>
    <t xml:space="preserve"> с грузом          </t>
  </si>
  <si>
    <t xml:space="preserve">Прибытие техники к месту погрузки </t>
  </si>
  <si>
    <t>Тягач седельный с манип.установкой КАМАЗ 680102</t>
  </si>
  <si>
    <t>Прибытие техники из г.Оренбург на базу в г.Отрадный</t>
  </si>
  <si>
    <t>_____________________</t>
  </si>
  <si>
    <t>Доставка керна</t>
  </si>
  <si>
    <t>Монтаж плит фундамента, плит ПДН</t>
  </si>
  <si>
    <t>Монтаж укрытия насосного блока</t>
  </si>
  <si>
    <t>Монтаж емкостей ОЦС, виброситов, центрифуги, пескоотделителя, фильтра центрифуги, желобов для шлама и дегазатора. Эл. монтажные работы.</t>
  </si>
  <si>
    <t>Монтаж укрытия ОЦС и приемных емкостей</t>
  </si>
  <si>
    <t>Монтаж котельных установок-2шт, паровых линий</t>
  </si>
  <si>
    <t> Демонтаж кабельной продукции и кабельных желобов в насосном блоке</t>
  </si>
  <si>
    <t>Демонтаж котельной установки</t>
  </si>
  <si>
    <t>Яс</t>
  </si>
  <si>
    <t>Расчет №14</t>
  </si>
  <si>
    <t xml:space="preserve">Всего: </t>
  </si>
  <si>
    <r>
      <t>м</t>
    </r>
    <r>
      <rPr>
        <vertAlign val="superscript"/>
        <sz val="11"/>
        <rFont val="Times New Roman"/>
        <family val="1"/>
        <charset val="204"/>
      </rPr>
      <t xml:space="preserve">2 </t>
    </r>
  </si>
  <si>
    <t>Расчет №9</t>
  </si>
  <si>
    <t xml:space="preserve">Бурение Роторной КНБК </t>
  </si>
  <si>
    <t xml:space="preserve">Бурение ВЗД (без т/с, без ГК) </t>
  </si>
  <si>
    <t xml:space="preserve">Бурение ВЗД (с т/с, без ГК) </t>
  </si>
  <si>
    <t xml:space="preserve">Бурение ВЗД (с т/с, с ГК) </t>
  </si>
  <si>
    <t xml:space="preserve">Бурение ВЗД (с т/с, срасширенный комплекс ГИС) </t>
  </si>
  <si>
    <t>Отбор изолированного керна</t>
  </si>
  <si>
    <t xml:space="preserve">Отбор неизолированного керна </t>
  </si>
  <si>
    <t>ставка ТС (СНС)</t>
  </si>
  <si>
    <t>ставка ТС с ГК (СНС)</t>
  </si>
  <si>
    <t>Бурение ВЗД (без т/с, без ГК) без СВП</t>
  </si>
  <si>
    <t>Бурение ВЗД (с т/с, без ГК) без СВП</t>
  </si>
  <si>
    <t>Бурение ВЗД (с т/с, с ГК) без СВП</t>
  </si>
  <si>
    <t>Бурение ВЗД (с т/с, срасширенный комплекс ГИС) без СВП</t>
  </si>
  <si>
    <t>Отбор изолированного керна без ВСП</t>
  </si>
  <si>
    <t>Отбор неизолированного керна без ВСП</t>
  </si>
  <si>
    <t>Стоимость бурения</t>
  </si>
  <si>
    <t>Бурение Роторной КНБК без СВП</t>
  </si>
  <si>
    <t>Итого</t>
  </si>
  <si>
    <t>мобил/демоб.</t>
  </si>
  <si>
    <t>Бурение Роторной КНБК с СВП</t>
  </si>
  <si>
    <t>Бурение ВЗД (без т/с, без ГК) с СВП</t>
  </si>
  <si>
    <t>Бурение ВЗД (с т/с, без ГК) с СВП</t>
  </si>
  <si>
    <t>Бурение ВЗД (с т/с, с ГК) с СВП</t>
  </si>
  <si>
    <t>Бурение ВЗД (с т/с, срасширенный комплекс ГИС) с СВП</t>
  </si>
  <si>
    <t>Отбор изолированного керна с ВСП</t>
  </si>
  <si>
    <t>Отбор неизолированного керна с ВСП</t>
  </si>
  <si>
    <t>пилот</t>
  </si>
  <si>
    <t>Расчет №2.4.1</t>
  </si>
  <si>
    <t>Бурение водяной скважины 1шт.</t>
  </si>
  <si>
    <t>Бульдозер TY-165</t>
  </si>
  <si>
    <t>Монтаж автономного источника электроэнергии с учетом пусконаладочных работ</t>
  </si>
  <si>
    <t>Демонтаж автономного источника  электроэнергии</t>
  </si>
  <si>
    <t xml:space="preserve">Подготовка площадки </t>
  </si>
  <si>
    <t>Мобилизация буровой установки</t>
  </si>
  <si>
    <t>Инженерная подготовка кустовой площадки и временного шламонакопителя</t>
  </si>
  <si>
    <t>Затраты, связанные с автономным источником электроэнергии, в том числе:</t>
  </si>
  <si>
    <t>Завоз/вывоз бульдозера</t>
  </si>
  <si>
    <t>УАЗ (выезд специалиста для принятия точки)</t>
  </si>
  <si>
    <t>Количество дней на секцию</t>
  </si>
  <si>
    <t>Перевоз керна до кернохранилища г.Оренбург</t>
  </si>
  <si>
    <t>Маршрут: (база г.Отрадный -Сл-Заречное м/р-г.Оренбург-база г.Отрадный)</t>
  </si>
  <si>
    <t>г. Отрадный-Сл-Заречное м/р</t>
  </si>
  <si>
    <t>Сл-Заречное м/р - г.Оренбург</t>
  </si>
  <si>
    <t>Инженерная подготовка площадки, временных шламонакопителей</t>
  </si>
  <si>
    <t>Мобилизация БУ</t>
  </si>
  <si>
    <t>Эл. демонтажные работы блока ОЦС и приемных емкостей</t>
  </si>
  <si>
    <t>Численно квалификационный состав ВМБ</t>
  </si>
  <si>
    <t>чел</t>
  </si>
  <si>
    <t>ед.</t>
  </si>
  <si>
    <t>Демобилзация БУ, БО</t>
  </si>
  <si>
    <t>Сдача КП</t>
  </si>
  <si>
    <t>Демонтаж привода бур насосов №1,2</t>
  </si>
  <si>
    <t>Демонтаж бур насосов №1,2, манифольда и общего коллектора для бур насосов №1,2,</t>
  </si>
  <si>
    <t>Демонтаж общего коллектора приемных емкостей. Коллектора от гидроворонок Свако, водяных линий, укрытие емкостей ОЦС и приемных емкостей</t>
  </si>
  <si>
    <t>Демонтаж центрифуги, пескоотделителя, виброситов на емкостях ОЦС и емкостей ОЦС</t>
  </si>
  <si>
    <t>Демонтаж гидроворонок Свако и приемных емкостей</t>
  </si>
  <si>
    <t>Демонтаж основной топливной линии и емкостей в блоке ГСМ</t>
  </si>
  <si>
    <t>Демонтаж навесного оборудования и канатов с мачты</t>
  </si>
  <si>
    <t>Демонтаж выхлопов, выкидных линий ДЗУ от бур насосов, паровых трубопроводов и трубопроводов в насосном блоке</t>
  </si>
  <si>
    <t>Демонтаж трубопроводов и пневмосистемы в 3-х дизельном блоке</t>
  </si>
  <si>
    <t>Демонтаж силовых агрегатов №1,2,3, карданов привода бур насосов и общий трансмиссии 3-х дизельного блока</t>
  </si>
  <si>
    <t>Разборка и демонтаж основания 3-х дизельного блока.</t>
  </si>
  <si>
    <t>Монтаж основания буровой лебедки и буровой лебедки с ЭМТ</t>
  </si>
  <si>
    <t>Сборка и монтаж основания 3-х дизельного блока, установку общий трансмиссии, силовых агрегатов №1,2,3 и приводных карданов</t>
  </si>
  <si>
    <t>Монтаж буровых насосов №1,2, приводных карданов и общего коллектора для бур насосов №1,2,</t>
  </si>
  <si>
    <t>Монтаж привода бур насоса (силовой агрегат)</t>
  </si>
  <si>
    <t>Монтаж желобов под электра кабель и электро монтажные работы</t>
  </si>
  <si>
    <t>Монтаж гидравлических и пневмо линий по обвязки оборудования на основании мачты</t>
  </si>
  <si>
    <t>Электро монтажные работы на основании мачты</t>
  </si>
  <si>
    <t>Монтаж приемных емкостей, общего коллектора приемных емкостей, хозяйственной линии, переходных площадок и ограждений</t>
  </si>
  <si>
    <t>Монтаж гидро воронок Свако, общего коллектора от гидро воронок на приемные емкостя и будки лаборанта</t>
  </si>
  <si>
    <t>Монтаж емкостей в блоке ГСМ и основной топливной линии</t>
  </si>
  <si>
    <t>Электро монтажные работы и заземление оборудования буровой</t>
  </si>
  <si>
    <t xml:space="preserve">На 5 метров </t>
  </si>
  <si>
    <t>продолжительность работ по бурению и креплению</t>
  </si>
  <si>
    <t xml:space="preserve">продолжительность работ по цементированию в 2-е ступени </t>
  </si>
  <si>
    <t>продолжительность работ по опрессовке снижением уровня</t>
  </si>
  <si>
    <t xml:space="preserve">продолжительность работ по нормализации забоя (заключительные работы) </t>
  </si>
  <si>
    <t>продолжительность работ по установке цементного моста (скв. до 4000 м)</t>
  </si>
  <si>
    <t>продолжительность работ по бурению пилотного ствола (скв. до 4000 м)</t>
  </si>
  <si>
    <t>продолжительность работ по бурению пилотного ствола (скв. до 5000 м)</t>
  </si>
  <si>
    <t>Опрессовка инертным газом</t>
  </si>
  <si>
    <t xml:space="preserve"> с грузом                    </t>
  </si>
  <si>
    <t>без груза</t>
  </si>
  <si>
    <t>2.3.</t>
  </si>
  <si>
    <t>2.4.</t>
  </si>
  <si>
    <t>2.5.</t>
  </si>
  <si>
    <t>2.6.</t>
  </si>
  <si>
    <t>2.7.</t>
  </si>
  <si>
    <t>2.8.</t>
  </si>
  <si>
    <t>2.9.</t>
  </si>
  <si>
    <t>Работа ав/крана 25 тн на ПРР</t>
  </si>
  <si>
    <t>Работа ав/крана 50 тн на ПРР</t>
  </si>
  <si>
    <t xml:space="preserve">проходка </t>
  </si>
  <si>
    <t>Секция</t>
  </si>
  <si>
    <t>направление</t>
  </si>
  <si>
    <t>кондуктор</t>
  </si>
  <si>
    <t>Пилотный ствол</t>
  </si>
  <si>
    <t>Хвостовик</t>
  </si>
  <si>
    <t>Коэффициент кавернозности</t>
  </si>
  <si>
    <t>СОГЛАСОВАНО</t>
  </si>
  <si>
    <t>УТВЕРЖДАЮ</t>
  </si>
  <si>
    <t>Начальник отдела  бурения 
ООО " Сладковско-Заречное"</t>
  </si>
  <si>
    <t>Начальник отдела охраны окружающей среды 
ООО "Сладковско-Заречное"</t>
  </si>
  <si>
    <t>Главный инженер 
ООО "Отрадное"</t>
  </si>
  <si>
    <t>______________________Р.И.Сенюков</t>
  </si>
  <si>
    <t xml:space="preserve">_______________А.А. Баженов </t>
  </si>
  <si>
    <t>__________________ А.Н. Побежимов</t>
  </si>
  <si>
    <t>"__"________2021г</t>
  </si>
  <si>
    <t>"____"___________2021г.</t>
  </si>
  <si>
    <t>"_____"__________2021г.</t>
  </si>
  <si>
    <t>Расчёт объема буровых отходов</t>
  </si>
  <si>
    <t>Сладковско-Заречное</t>
  </si>
  <si>
    <t>411, 412</t>
  </si>
  <si>
    <t>Вид отходов</t>
  </si>
  <si>
    <t>Показатель</t>
  </si>
  <si>
    <t>Обозначение</t>
  </si>
  <si>
    <t>Ед. изм.</t>
  </si>
  <si>
    <t>Формула/Значение</t>
  </si>
  <si>
    <t xml:space="preserve">Направление </t>
  </si>
  <si>
    <t xml:space="preserve">Кондуктор </t>
  </si>
  <si>
    <t xml:space="preserve">Техническая колонна </t>
  </si>
  <si>
    <t xml:space="preserve">Эксплуатационная колонна </t>
  </si>
  <si>
    <t>глинистый</t>
  </si>
  <si>
    <t>полимер
глинистый</t>
  </si>
  <si>
    <t xml:space="preserve">соленасыщенный полимер
глинистый
</t>
  </si>
  <si>
    <t>биополимерный ингибированный</t>
  </si>
  <si>
    <t>хлоркалиевый биополи-мерный</t>
  </si>
  <si>
    <t>Исходные данные</t>
  </si>
  <si>
    <t>Время строительства интервала</t>
  </si>
  <si>
    <r>
      <rPr>
        <i/>
        <sz val="11"/>
        <color indexed="8"/>
        <rFont val="Times New Roman"/>
        <family val="1"/>
        <charset val="204"/>
      </rPr>
      <t>Т</t>
    </r>
    <r>
      <rPr>
        <i/>
        <sz val="8"/>
        <color indexed="8"/>
        <rFont val="Calibri"/>
        <family val="2"/>
        <charset val="204"/>
      </rPr>
      <t>стр</t>
    </r>
  </si>
  <si>
    <t>Количество суток в году</t>
  </si>
  <si>
    <t>Т</t>
  </si>
  <si>
    <t>Количество суток отопительного периода в году</t>
  </si>
  <si>
    <r>
      <rPr>
        <i/>
        <sz val="11"/>
        <color indexed="8"/>
        <rFont val="Times New Roman"/>
        <family val="1"/>
        <charset val="204"/>
      </rPr>
      <t>Т</t>
    </r>
    <r>
      <rPr>
        <i/>
        <sz val="8"/>
        <color indexed="8"/>
        <rFont val="Calibri"/>
        <family val="2"/>
        <charset val="204"/>
      </rPr>
      <t>отоп</t>
    </r>
  </si>
  <si>
    <t>Коэффициент повторного использования объема конденсата (в случае наличия оборотной системы котельной установки)</t>
  </si>
  <si>
    <r>
      <rPr>
        <i/>
        <sz val="11"/>
        <color indexed="8"/>
        <rFont val="Times New Roman"/>
        <family val="1"/>
        <charset val="204"/>
      </rPr>
      <t>К</t>
    </r>
    <r>
      <rPr>
        <i/>
        <sz val="8"/>
        <color indexed="8"/>
        <rFont val="Calibri"/>
        <family val="2"/>
        <charset val="204"/>
      </rPr>
      <t>повт.котел</t>
    </r>
  </si>
  <si>
    <t>Глубина спуска ОК на предыдущем интервале</t>
  </si>
  <si>
    <r>
      <rPr>
        <i/>
        <sz val="11"/>
        <color indexed="8"/>
        <rFont val="Times New Roman"/>
        <family val="1"/>
        <charset val="204"/>
      </rPr>
      <t>L</t>
    </r>
    <r>
      <rPr>
        <i/>
        <sz val="8"/>
        <color indexed="8"/>
        <rFont val="Times New Roman"/>
        <family val="1"/>
        <charset val="204"/>
      </rPr>
      <t>ок</t>
    </r>
    <r>
      <rPr>
        <i/>
        <sz val="8"/>
        <color indexed="8"/>
        <rFont val="Calibri"/>
        <family val="2"/>
        <charset val="204"/>
      </rPr>
      <t xml:space="preserve"> i-1</t>
    </r>
  </si>
  <si>
    <t>Глубина спуска ОК</t>
  </si>
  <si>
    <r>
      <rPr>
        <i/>
        <sz val="11"/>
        <color indexed="8"/>
        <rFont val="Times New Roman"/>
        <family val="1"/>
        <charset val="204"/>
      </rPr>
      <t>L</t>
    </r>
    <r>
      <rPr>
        <i/>
        <sz val="8"/>
        <color indexed="8"/>
        <rFont val="Times New Roman"/>
        <family val="1"/>
        <charset val="204"/>
      </rPr>
      <t>ок</t>
    </r>
  </si>
  <si>
    <t>Высота подъема цементного раствора в заколонном пространстве от устья</t>
  </si>
  <si>
    <r>
      <rPr>
        <i/>
        <sz val="11"/>
        <color indexed="8"/>
        <rFont val="Times New Roman"/>
        <family val="1"/>
        <charset val="204"/>
      </rPr>
      <t>Н</t>
    </r>
    <r>
      <rPr>
        <sz val="8"/>
        <color indexed="8"/>
        <rFont val="Times New Roman"/>
        <family val="1"/>
        <charset val="204"/>
      </rPr>
      <t>под.цi</t>
    </r>
  </si>
  <si>
    <t>Глубина срезки с цементного моста</t>
  </si>
  <si>
    <r>
      <t>L</t>
    </r>
    <r>
      <rPr>
        <sz val="8"/>
        <color indexed="8"/>
        <rFont val="Times New Roman"/>
        <family val="1"/>
        <charset val="204"/>
      </rPr>
      <t>срезкаi</t>
    </r>
  </si>
  <si>
    <t>Объем цементного стакана</t>
  </si>
  <si>
    <r>
      <t>V</t>
    </r>
    <r>
      <rPr>
        <sz val="8"/>
        <color indexed="8"/>
        <rFont val="Times New Roman"/>
        <family val="1"/>
        <charset val="204"/>
      </rPr>
      <t>цс</t>
    </r>
  </si>
  <si>
    <r>
      <t>V</t>
    </r>
    <r>
      <rPr>
        <sz val="8"/>
        <color indexed="8"/>
        <rFont val="Times New Roman"/>
        <family val="1"/>
        <charset val="204"/>
      </rPr>
      <t xml:space="preserve">цс </t>
    </r>
    <r>
      <rPr>
        <i/>
        <sz val="11"/>
        <color indexed="8"/>
        <rFont val="Times New Roman"/>
        <family val="1"/>
        <charset val="204"/>
      </rPr>
      <t xml:space="preserve">= </t>
    </r>
    <r>
      <rPr>
        <i/>
        <sz val="12"/>
        <color indexed="8"/>
        <rFont val="Times New Roman"/>
        <family val="1"/>
        <charset val="204"/>
      </rPr>
      <t>π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нарок i-1</t>
    </r>
    <r>
      <rPr>
        <sz val="11"/>
        <color indexed="8"/>
        <rFont val="Times New Roman"/>
        <family val="1"/>
        <charset val="204"/>
      </rPr>
      <t xml:space="preserve"> /1000 ˑ 10 </t>
    </r>
  </si>
  <si>
    <t>Диаметр бурильного инструмента</t>
  </si>
  <si>
    <r>
      <t>D</t>
    </r>
    <r>
      <rPr>
        <sz val="8"/>
        <color indexed="8"/>
        <rFont val="Times New Roman"/>
        <family val="1"/>
        <charset val="204"/>
      </rPr>
      <t>инстрi</t>
    </r>
  </si>
  <si>
    <t>мм</t>
  </si>
  <si>
    <t>Внешний диаметр ОК на предыдущем интервале</t>
  </si>
  <si>
    <r>
      <t>D</t>
    </r>
    <r>
      <rPr>
        <sz val="8"/>
        <color indexed="8"/>
        <rFont val="Times New Roman"/>
        <family val="1"/>
        <charset val="204"/>
      </rPr>
      <t>нарок i-1</t>
    </r>
  </si>
  <si>
    <t>Толщина стенки ОК на предыдущем интервале</t>
  </si>
  <si>
    <r>
      <t>h</t>
    </r>
    <r>
      <rPr>
        <sz val="8"/>
        <color indexed="8"/>
        <rFont val="Times New Roman"/>
        <family val="1"/>
        <charset val="204"/>
      </rPr>
      <t>ст i-1</t>
    </r>
  </si>
  <si>
    <t>Внутренний диаметр ОК на предыдущем интервале</t>
  </si>
  <si>
    <r>
      <t>D</t>
    </r>
    <r>
      <rPr>
        <sz val="8"/>
        <color indexed="8"/>
        <rFont val="Times New Roman"/>
        <family val="1"/>
        <charset val="204"/>
      </rPr>
      <t xml:space="preserve">нарок i-1 = 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 xml:space="preserve">нарокi - </t>
    </r>
    <r>
      <rPr>
        <sz val="11"/>
        <color indexed="8"/>
        <rFont val="Times New Roman"/>
        <family val="1"/>
        <charset val="204"/>
      </rPr>
      <t>2</t>
    </r>
    <r>
      <rPr>
        <i/>
        <sz val="11"/>
        <color indexed="8"/>
        <rFont val="Times New Roman"/>
        <family val="1"/>
        <charset val="204"/>
      </rPr>
      <t>h</t>
    </r>
    <r>
      <rPr>
        <sz val="8"/>
        <color indexed="8"/>
        <rFont val="Times New Roman"/>
        <family val="1"/>
        <charset val="204"/>
      </rPr>
      <t>ст i</t>
    </r>
  </si>
  <si>
    <t>Внешний диаметр ОК</t>
  </si>
  <si>
    <t>Количество цементных стаканов и цементных мостов</t>
  </si>
  <si>
    <t>Цс</t>
  </si>
  <si>
    <t>k</t>
  </si>
  <si>
    <t>Протяженность интервала бурения</t>
  </si>
  <si>
    <t>L</t>
  </si>
  <si>
    <t>Диаметр долота</t>
  </si>
  <si>
    <r>
      <t>D</t>
    </r>
    <r>
      <rPr>
        <sz val="8"/>
        <color indexed="8"/>
        <rFont val="Times New Roman"/>
        <family val="1"/>
        <charset val="204"/>
      </rPr>
      <t>дол</t>
    </r>
  </si>
  <si>
    <t>Минимальный объем на поверхности</t>
  </si>
  <si>
    <r>
      <t>V</t>
    </r>
    <r>
      <rPr>
        <sz val="8"/>
        <color indexed="8"/>
        <rFont val="Times New Roman"/>
        <family val="1"/>
        <charset val="204"/>
      </rPr>
      <t>повi</t>
    </r>
  </si>
  <si>
    <t>Объем переведенный на следующий интервал</t>
  </si>
  <si>
    <r>
      <t>V</t>
    </r>
    <r>
      <rPr>
        <sz val="8"/>
        <color indexed="8"/>
        <rFont val="Times New Roman"/>
        <family val="1"/>
        <charset val="204"/>
      </rPr>
      <t>пер</t>
    </r>
  </si>
  <si>
    <t>Плановая плотность бурового раствора</t>
  </si>
  <si>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план</t>
    </r>
  </si>
  <si>
    <t>г/см3</t>
  </si>
  <si>
    <t>Предельно допустимая плановая твердая фаза</t>
  </si>
  <si>
    <r>
      <t>ТФ</t>
    </r>
    <r>
      <rPr>
        <i/>
        <sz val="8"/>
        <color indexed="8"/>
        <rFont val="Times New Roman"/>
        <family val="1"/>
        <charset val="204"/>
      </rPr>
      <t>планi</t>
    </r>
  </si>
  <si>
    <t>Расчетная твердая фаза</t>
  </si>
  <si>
    <r>
      <t>ТФ</t>
    </r>
    <r>
      <rPr>
        <i/>
        <sz val="8"/>
        <color indexed="8"/>
        <rFont val="Times New Roman"/>
        <family val="1"/>
        <charset val="204"/>
      </rPr>
      <t>расчi</t>
    </r>
  </si>
  <si>
    <t>Приложение №2 к МУ Таб. 7</t>
  </si>
  <si>
    <t>Допустимое содержание выбуренной породы</t>
  </si>
  <si>
    <r>
      <t>C</t>
    </r>
    <r>
      <rPr>
        <sz val="8"/>
        <color indexed="8"/>
        <rFont val="Times New Roman"/>
        <family val="1"/>
        <charset val="204"/>
      </rPr>
      <t>доп</t>
    </r>
  </si>
  <si>
    <t>Коэффициент извлечения</t>
  </si>
  <si>
    <r>
      <t>K</t>
    </r>
    <r>
      <rPr>
        <sz val="8"/>
        <color indexed="8"/>
        <rFont val="Times New Roman"/>
        <family val="1"/>
        <charset val="204"/>
      </rPr>
      <t>изв</t>
    </r>
  </si>
  <si>
    <t>доли</t>
  </si>
  <si>
    <t>Приложение №1 к МУ Таб. 6</t>
  </si>
  <si>
    <t>Плановое содержание коллоидной фазы</t>
  </si>
  <si>
    <r>
      <t>MBT</t>
    </r>
    <r>
      <rPr>
        <i/>
        <sz val="8"/>
        <color indexed="8"/>
        <rFont val="Times New Roman"/>
        <family val="1"/>
        <charset val="204"/>
      </rPr>
      <t>план</t>
    </r>
  </si>
  <si>
    <t>кг/м3</t>
  </si>
  <si>
    <t>Применение РУО (да/нет)</t>
  </si>
  <si>
    <t>Площадь шламового амбара</t>
  </si>
  <si>
    <r>
      <t>S</t>
    </r>
    <r>
      <rPr>
        <sz val="8"/>
        <color indexed="8"/>
        <rFont val="Times New Roman"/>
        <family val="1"/>
        <charset val="204"/>
      </rPr>
      <t>н</t>
    </r>
  </si>
  <si>
    <t>Среднмесячное количество атм. осадков, выпадающих в районе строения скважин</t>
  </si>
  <si>
    <r>
      <t>h</t>
    </r>
    <r>
      <rPr>
        <sz val="8"/>
        <color indexed="8"/>
        <rFont val="Times New Roman"/>
        <family val="1"/>
        <charset val="204"/>
      </rPr>
      <t>о</t>
    </r>
  </si>
  <si>
    <t>Среднемесячная испаряемость воды (жидкости), в районе строения скважин</t>
  </si>
  <si>
    <r>
      <t>h</t>
    </r>
    <r>
      <rPr>
        <sz val="8"/>
        <color indexed="8"/>
        <rFont val="Times New Roman"/>
        <family val="1"/>
        <charset val="204"/>
      </rPr>
      <t>и</t>
    </r>
  </si>
  <si>
    <t>В случае отсутствия данных проставляется - 0</t>
  </si>
  <si>
    <t>Обращение с ОБ</t>
  </si>
  <si>
    <t>Проставляется
Истина - при амбарном бурении
Ложь - при безамбарном бурении</t>
  </si>
  <si>
    <t>Производительность котельной установки</t>
  </si>
  <si>
    <t>Q</t>
  </si>
  <si>
    <t>тн/сут</t>
  </si>
  <si>
    <t>Сезон работы котельной установки</t>
  </si>
  <si>
    <t>Если неизвестен сезон и время работы котельной установки проставляетя 0, если известен сезон и время работы котельной установки проставляется - 1</t>
  </si>
  <si>
    <t>Время работы котельной установки</t>
  </si>
  <si>
    <r>
      <t>Т</t>
    </r>
    <r>
      <rPr>
        <sz val="8"/>
        <color indexed="8"/>
        <rFont val="Times New Roman"/>
        <family val="1"/>
        <charset val="204"/>
      </rPr>
      <t>котел</t>
    </r>
  </si>
  <si>
    <t>Влажность шлама на виброситах</t>
  </si>
  <si>
    <r>
      <rPr>
        <i/>
        <sz val="14"/>
        <color indexed="8"/>
        <rFont val="Times New Roman"/>
        <family val="1"/>
        <charset val="204"/>
      </rPr>
      <t>ɑ</t>
    </r>
    <r>
      <rPr>
        <sz val="8"/>
        <color indexed="8"/>
        <rFont val="Calibri"/>
        <family val="2"/>
        <charset val="204"/>
      </rPr>
      <t>вс</t>
    </r>
  </si>
  <si>
    <t>Приложение №1 к МУ Таб.2</t>
  </si>
  <si>
    <t>Влажность шлама с вибросит после системы осушки</t>
  </si>
  <si>
    <r>
      <rPr>
        <i/>
        <sz val="14"/>
        <color indexed="8"/>
        <rFont val="Times New Roman"/>
        <family val="1"/>
        <charset val="204"/>
      </rPr>
      <t>ɑ</t>
    </r>
    <r>
      <rPr>
        <sz val="8"/>
        <color indexed="8"/>
        <rFont val="Calibri"/>
        <family val="2"/>
        <charset val="204"/>
      </rPr>
      <t>осуш</t>
    </r>
  </si>
  <si>
    <t>При применении проставить коэффициент согласно паспорта
В случае отсутствия системы осушки оставить поля пустыми</t>
  </si>
  <si>
    <t>Влажность шлама на ситогидроциклонной установке</t>
  </si>
  <si>
    <r>
      <rPr>
        <i/>
        <sz val="14"/>
        <color indexed="8"/>
        <rFont val="Times New Roman"/>
        <family val="1"/>
        <charset val="204"/>
      </rPr>
      <t>ɑ</t>
    </r>
    <r>
      <rPr>
        <sz val="8"/>
        <color indexed="8"/>
        <rFont val="Calibri"/>
        <family val="2"/>
        <charset val="204"/>
      </rPr>
      <t>сгцу</t>
    </r>
  </si>
  <si>
    <t>Влажность шлама на центрифуге</t>
  </si>
  <si>
    <r>
      <rPr>
        <i/>
        <sz val="14"/>
        <color indexed="8"/>
        <rFont val="Times New Roman"/>
        <family val="1"/>
        <charset val="204"/>
      </rPr>
      <t>ɑ</t>
    </r>
    <r>
      <rPr>
        <sz val="8"/>
        <color indexed="8"/>
        <rFont val="Calibri"/>
        <family val="2"/>
        <charset val="204"/>
      </rPr>
      <t>цфг</t>
    </r>
  </si>
  <si>
    <t>Степень очистки вибросит</t>
  </si>
  <si>
    <r>
      <rPr>
        <i/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вс</t>
    </r>
  </si>
  <si>
    <t>Приложение №1 к МУ Таб.3</t>
  </si>
  <si>
    <t>Степень очистки ситогидроциклонной установки</t>
  </si>
  <si>
    <r>
      <rPr>
        <i/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сгцу</t>
    </r>
  </si>
  <si>
    <t>Степень очистки центрифуги</t>
  </si>
  <si>
    <r>
      <rPr>
        <i/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цфг</t>
    </r>
  </si>
  <si>
    <t>Степень очистки системы очистки</t>
  </si>
  <si>
    <r>
      <rPr>
        <i/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сумм</t>
    </r>
  </si>
  <si>
    <r>
      <rPr>
        <i/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 xml:space="preserve">сумм = </t>
    </r>
    <r>
      <rPr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 xml:space="preserve">вс + </t>
    </r>
    <r>
      <rPr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 xml:space="preserve">сгцу ˑ </t>
    </r>
    <r>
      <rPr>
        <sz val="12"/>
        <color indexed="8"/>
        <rFont val="Times New Roman"/>
        <family val="1"/>
        <charset val="204"/>
      </rPr>
      <t>(</t>
    </r>
    <r>
      <rPr>
        <sz val="10"/>
        <color indexed="8"/>
        <rFont val="Times New Roman"/>
        <family val="1"/>
        <charset val="204"/>
      </rPr>
      <t xml:space="preserve">1 </t>
    </r>
    <r>
      <rPr>
        <sz val="12"/>
        <color indexed="8"/>
        <rFont val="Times New Roman"/>
        <family val="1"/>
        <charset val="204"/>
      </rPr>
      <t xml:space="preserve">- </t>
    </r>
    <r>
      <rPr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вс</t>
    </r>
    <r>
      <rPr>
        <sz val="12"/>
        <color indexed="8"/>
        <rFont val="Times New Roman"/>
        <family val="1"/>
        <charset val="204"/>
      </rPr>
      <t>)</t>
    </r>
    <r>
      <rPr>
        <sz val="8"/>
        <color indexed="8"/>
        <rFont val="Times New Roman"/>
        <family val="1"/>
        <charset val="204"/>
      </rPr>
      <t xml:space="preserve"> + </t>
    </r>
    <r>
      <rPr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цфг</t>
    </r>
    <r>
      <rPr>
        <sz val="8"/>
        <color indexed="8"/>
        <rFont val="Times New Roman"/>
        <family val="1"/>
        <charset val="204"/>
      </rPr>
      <t xml:space="preserve"> ˑ</t>
    </r>
    <r>
      <rPr>
        <sz val="10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(</t>
    </r>
    <r>
      <rPr>
        <sz val="10"/>
        <color indexed="8"/>
        <rFont val="Times New Roman"/>
        <family val="1"/>
        <charset val="204"/>
      </rPr>
      <t xml:space="preserve">1 - </t>
    </r>
    <r>
      <rPr>
        <sz val="14"/>
        <color indexed="8"/>
        <rFont val="Times New Roman"/>
        <family val="1"/>
        <charset val="204"/>
      </rPr>
      <t>ɛ</t>
    </r>
    <r>
      <rPr>
        <sz val="10"/>
        <color indexed="8"/>
        <rFont val="Times New Roman"/>
        <family val="1"/>
        <charset val="204"/>
      </rPr>
      <t xml:space="preserve">вс - </t>
    </r>
    <r>
      <rPr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 xml:space="preserve">сгцуˑ (1 - </t>
    </r>
    <r>
      <rPr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вс</t>
    </r>
    <r>
      <rPr>
        <sz val="12"/>
        <color indexed="8"/>
        <rFont val="Times New Roman"/>
        <family val="1"/>
        <charset val="204"/>
      </rPr>
      <t>))</t>
    </r>
  </si>
  <si>
    <t>Коэффициент повторного использования ОБР (в случае применения БХУЦ)</t>
  </si>
  <si>
    <r>
      <t>K</t>
    </r>
    <r>
      <rPr>
        <sz val="8"/>
        <color indexed="8"/>
        <rFont val="Times New Roman"/>
        <family val="1"/>
        <charset val="204"/>
      </rPr>
      <t>повт.</t>
    </r>
  </si>
  <si>
    <t>Потери на фильтрацию на сутки бурения</t>
  </si>
  <si>
    <t>Ф</t>
  </si>
  <si>
    <t>м3/сут</t>
  </si>
  <si>
    <t>Приложение №1 к МУ Таб. 4</t>
  </si>
  <si>
    <t>Плотность глинистой породы</t>
  </si>
  <si>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гл.п.</t>
    </r>
  </si>
  <si>
    <t>В случае отсутсвия глинистых пород оставить ячейки пустыми</t>
  </si>
  <si>
    <t>Мощность глинистых отложений</t>
  </si>
  <si>
    <r>
      <rPr>
        <i/>
        <sz val="14"/>
        <color indexed="8"/>
        <rFont val="Times New Roman"/>
        <family val="1"/>
        <charset val="204"/>
      </rPr>
      <t>L</t>
    </r>
    <r>
      <rPr>
        <sz val="8"/>
        <color indexed="8"/>
        <rFont val="Times New Roman"/>
        <family val="1"/>
        <charset val="204"/>
      </rPr>
      <t>гл.п.</t>
    </r>
  </si>
  <si>
    <t>Высота буферной жидкости в затрубном пространстве при цементировании</t>
  </si>
  <si>
    <r>
      <t>H</t>
    </r>
    <r>
      <rPr>
        <sz val="8"/>
        <color indexed="8"/>
        <rFont val="Times New Roman"/>
        <family val="1"/>
        <charset val="204"/>
      </rPr>
      <t>бж</t>
    </r>
  </si>
  <si>
    <t>Высота буферной жидкости в затрубном пространстве при установке цементного моста</t>
  </si>
  <si>
    <r>
      <t>H</t>
    </r>
    <r>
      <rPr>
        <sz val="8"/>
        <color indexed="8"/>
        <rFont val="Times New Roman"/>
        <family val="1"/>
        <charset val="204"/>
      </rPr>
      <t>уцм</t>
    </r>
  </si>
  <si>
    <t>БШ</t>
  </si>
  <si>
    <t>Выбуренная горная порода</t>
  </si>
  <si>
    <r>
      <t>V</t>
    </r>
    <r>
      <rPr>
        <sz val="8"/>
        <color indexed="8"/>
        <rFont val="Times New Roman"/>
        <family val="1"/>
        <charset val="204"/>
      </rPr>
      <t>в.п.i</t>
    </r>
  </si>
  <si>
    <r>
      <t>V</t>
    </r>
    <r>
      <rPr>
        <sz val="8"/>
        <color indexed="8"/>
        <rFont val="Times New Roman"/>
        <family val="1"/>
        <charset val="204"/>
      </rPr>
      <t xml:space="preserve">в.п.i = </t>
    </r>
    <r>
      <rPr>
        <i/>
        <sz val="11"/>
        <color indexed="8"/>
        <rFont val="Times New Roman"/>
        <family val="1"/>
        <charset val="204"/>
      </rPr>
      <t>k</t>
    </r>
    <r>
      <rPr>
        <i/>
        <sz val="8"/>
        <color indexed="8"/>
        <rFont val="Times New Roman"/>
        <family val="1"/>
        <charset val="204"/>
      </rPr>
      <t xml:space="preserve">i </t>
    </r>
    <r>
      <rPr>
        <sz val="11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π</t>
    </r>
    <r>
      <rPr>
        <i/>
        <sz val="11"/>
        <color indexed="8"/>
        <rFont val="Times New Roman"/>
        <family val="1"/>
        <charset val="204"/>
      </rPr>
      <t>D</t>
    </r>
    <r>
      <rPr>
        <i/>
        <sz val="8"/>
        <color indexed="8"/>
        <rFont val="Times New Roman"/>
        <family val="1"/>
        <charset val="204"/>
      </rPr>
      <t>i</t>
    </r>
    <r>
      <rPr>
        <i/>
        <sz val="12"/>
        <color indexed="8"/>
        <rFont val="Times New Roman"/>
        <family val="1"/>
        <charset val="204"/>
      </rPr>
      <t xml:space="preserve">² / </t>
    </r>
    <r>
      <rPr>
        <i/>
        <sz val="11"/>
        <color indexed="8"/>
        <rFont val="Times New Roman"/>
        <family val="1"/>
        <charset val="204"/>
      </rPr>
      <t>4)ˑ L</t>
    </r>
    <r>
      <rPr>
        <i/>
        <sz val="8"/>
        <color indexed="8"/>
        <rFont val="Times New Roman"/>
        <family val="1"/>
        <charset val="204"/>
      </rPr>
      <t>i</t>
    </r>
  </si>
  <si>
    <t>Потери на системе очистки</t>
  </si>
  <si>
    <r>
      <t>V</t>
    </r>
    <r>
      <rPr>
        <sz val="8"/>
        <color indexed="8"/>
        <rFont val="Times New Roman"/>
        <family val="1"/>
        <charset val="204"/>
      </rPr>
      <t>псоi</t>
    </r>
  </si>
  <si>
    <r>
      <t>V</t>
    </r>
    <r>
      <rPr>
        <sz val="8"/>
        <color indexed="8"/>
        <rFont val="Times New Roman"/>
        <family val="1"/>
        <charset val="204"/>
      </rPr>
      <t>псоi =</t>
    </r>
    <r>
      <rPr>
        <i/>
        <sz val="11"/>
        <color indexed="8"/>
        <rFont val="Times New Roman"/>
        <family val="1"/>
        <charset val="204"/>
      </rPr>
      <t xml:space="preserve"> V</t>
    </r>
    <r>
      <rPr>
        <sz val="8"/>
        <color indexed="8"/>
        <rFont val="Times New Roman"/>
        <family val="1"/>
        <charset val="204"/>
      </rPr>
      <t xml:space="preserve">пвсi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псгцуi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пцфгi</t>
    </r>
  </si>
  <si>
    <t>Объем потерь на виброситах</t>
  </si>
  <si>
    <r>
      <t>V</t>
    </r>
    <r>
      <rPr>
        <sz val="8"/>
        <color indexed="8"/>
        <rFont val="Times New Roman"/>
        <family val="1"/>
        <charset val="204"/>
      </rPr>
      <t>пвсi</t>
    </r>
  </si>
  <si>
    <r>
      <t>V</t>
    </r>
    <r>
      <rPr>
        <sz val="8"/>
        <color indexed="8"/>
        <rFont val="Times New Roman"/>
        <family val="1"/>
        <charset val="204"/>
      </rPr>
      <t>пвсi =</t>
    </r>
    <r>
      <rPr>
        <i/>
        <sz val="11"/>
        <color indexed="8"/>
        <rFont val="Times New Roman"/>
        <family val="1"/>
        <charset val="204"/>
      </rPr>
      <t xml:space="preserve"> ɑ</t>
    </r>
    <r>
      <rPr>
        <sz val="8"/>
        <color indexed="8"/>
        <rFont val="Times New Roman"/>
        <family val="1"/>
        <charset val="204"/>
      </rPr>
      <t xml:space="preserve">вс </t>
    </r>
    <r>
      <rPr>
        <sz val="11"/>
        <color indexed="8"/>
        <rFont val="Times New Roman"/>
        <family val="1"/>
        <charset val="204"/>
      </rPr>
      <t>ˑ ɛ</t>
    </r>
    <r>
      <rPr>
        <sz val="8"/>
        <color indexed="8"/>
        <rFont val="Times New Roman"/>
        <family val="1"/>
        <charset val="204"/>
      </rPr>
      <t xml:space="preserve">вс ˑ </t>
    </r>
    <r>
      <rPr>
        <i/>
        <sz val="8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в.п.i</t>
    </r>
  </si>
  <si>
    <t>Объем потерь на ситогидроциклонной установке</t>
  </si>
  <si>
    <r>
      <t>V</t>
    </r>
    <r>
      <rPr>
        <sz val="8"/>
        <color indexed="8"/>
        <rFont val="Times New Roman"/>
        <family val="1"/>
        <charset val="204"/>
      </rPr>
      <t>псгцуi</t>
    </r>
  </si>
  <si>
    <r>
      <t>V</t>
    </r>
    <r>
      <rPr>
        <sz val="8"/>
        <color indexed="8"/>
        <rFont val="Times New Roman"/>
        <family val="1"/>
        <charset val="204"/>
      </rPr>
      <t>псгцуi =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i/>
        <sz val="12"/>
        <color indexed="8"/>
        <rFont val="Times New Roman"/>
        <family val="1"/>
        <charset val="204"/>
      </rPr>
      <t>ɑ</t>
    </r>
    <r>
      <rPr>
        <sz val="8"/>
        <color indexed="8"/>
        <rFont val="Times New Roman"/>
        <family val="1"/>
        <charset val="204"/>
      </rPr>
      <t>сгцу</t>
    </r>
    <r>
      <rPr>
        <sz val="11"/>
        <color indexed="8"/>
        <rFont val="Times New Roman"/>
        <family val="1"/>
        <charset val="204"/>
      </rPr>
      <t xml:space="preserve"> ˑ </t>
    </r>
    <r>
      <rPr>
        <sz val="12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сгцу</t>
    </r>
    <r>
      <rPr>
        <sz val="11"/>
        <color indexed="8"/>
        <rFont val="Times New Roman"/>
        <family val="1"/>
        <charset val="204"/>
      </rPr>
      <t xml:space="preserve"> ˑ </t>
    </r>
    <r>
      <rPr>
        <sz val="8"/>
        <color indexed="8"/>
        <rFont val="Times New Roman"/>
        <family val="1"/>
        <charset val="204"/>
      </rPr>
      <t xml:space="preserve">(1 - </t>
    </r>
    <r>
      <rPr>
        <sz val="12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вс)</t>
    </r>
    <r>
      <rPr>
        <sz val="11"/>
        <color indexed="8"/>
        <rFont val="Times New Roman"/>
        <family val="1"/>
        <charset val="204"/>
      </rPr>
      <t xml:space="preserve"> ˑ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впi</t>
    </r>
  </si>
  <si>
    <t>Объем потерь на центрифуге</t>
  </si>
  <si>
    <r>
      <t>V</t>
    </r>
    <r>
      <rPr>
        <sz val="8"/>
        <color indexed="8"/>
        <rFont val="Times New Roman"/>
        <family val="1"/>
        <charset val="204"/>
      </rPr>
      <t>пцфгi</t>
    </r>
  </si>
  <si>
    <r>
      <t>V</t>
    </r>
    <r>
      <rPr>
        <sz val="8"/>
        <color indexed="8"/>
        <rFont val="Times New Roman"/>
        <family val="1"/>
        <charset val="204"/>
      </rPr>
      <t>пцфгi =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i/>
        <sz val="12"/>
        <color indexed="8"/>
        <rFont val="Times New Roman"/>
        <family val="1"/>
        <charset val="204"/>
      </rPr>
      <t>ɑ</t>
    </r>
    <r>
      <rPr>
        <sz val="8"/>
        <color indexed="8"/>
        <rFont val="Times New Roman"/>
        <family val="1"/>
        <charset val="204"/>
      </rPr>
      <t>цфг</t>
    </r>
    <r>
      <rPr>
        <sz val="11"/>
        <color indexed="8"/>
        <rFont val="Times New Roman"/>
        <family val="1"/>
        <charset val="204"/>
      </rPr>
      <t xml:space="preserve"> ˑ </t>
    </r>
    <r>
      <rPr>
        <sz val="12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цфг</t>
    </r>
    <r>
      <rPr>
        <sz val="11"/>
        <color indexed="8"/>
        <rFont val="Times New Roman"/>
        <family val="1"/>
        <charset val="204"/>
      </rPr>
      <t xml:space="preserve"> ˑ (</t>
    </r>
    <r>
      <rPr>
        <sz val="8"/>
        <color indexed="8"/>
        <rFont val="Times New Roman"/>
        <family val="1"/>
        <charset val="204"/>
      </rPr>
      <t xml:space="preserve">1 </t>
    </r>
    <r>
      <rPr>
        <sz val="11"/>
        <color indexed="8"/>
        <rFont val="Times New Roman"/>
        <family val="1"/>
        <charset val="204"/>
      </rPr>
      <t>-</t>
    </r>
    <r>
      <rPr>
        <sz val="8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 xml:space="preserve">вс </t>
    </r>
    <r>
      <rPr>
        <sz val="11"/>
        <color indexed="8"/>
        <rFont val="Times New Roman"/>
        <family val="1"/>
        <charset val="204"/>
      </rPr>
      <t>-</t>
    </r>
    <r>
      <rPr>
        <sz val="8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(</t>
    </r>
    <r>
      <rPr>
        <sz val="8"/>
        <color indexed="8"/>
        <rFont val="Times New Roman"/>
        <family val="1"/>
        <charset val="204"/>
      </rPr>
      <t xml:space="preserve">1 </t>
    </r>
    <r>
      <rPr>
        <sz val="11"/>
        <color indexed="8"/>
        <rFont val="Times New Roman"/>
        <family val="1"/>
        <charset val="204"/>
      </rPr>
      <t>-</t>
    </r>
    <r>
      <rPr>
        <sz val="8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вс</t>
    </r>
    <r>
      <rPr>
        <sz val="11"/>
        <color indexed="8"/>
        <rFont val="Times New Roman"/>
        <family val="1"/>
        <charset val="204"/>
      </rPr>
      <t>) ˑ</t>
    </r>
    <r>
      <rPr>
        <sz val="8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cгцу</t>
    </r>
    <r>
      <rPr>
        <sz val="11"/>
        <color indexed="8"/>
        <rFont val="Times New Roman"/>
        <family val="1"/>
        <charset val="204"/>
      </rPr>
      <t>)</t>
    </r>
    <r>
      <rPr>
        <sz val="8"/>
        <color indexed="8"/>
        <rFont val="Times New Roman"/>
        <family val="1"/>
        <charset val="204"/>
      </rPr>
      <t xml:space="preserve"> ˑ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впi</t>
    </r>
  </si>
  <si>
    <t>Буровой шлам</t>
  </si>
  <si>
    <r>
      <t>V</t>
    </r>
    <r>
      <rPr>
        <sz val="8"/>
        <color indexed="8"/>
        <rFont val="Times New Roman"/>
        <family val="1"/>
        <charset val="204"/>
      </rPr>
      <t>бшi</t>
    </r>
  </si>
  <si>
    <r>
      <t>V</t>
    </r>
    <r>
      <rPr>
        <sz val="8"/>
        <color indexed="8"/>
        <rFont val="Times New Roman"/>
        <family val="1"/>
        <charset val="204"/>
      </rPr>
      <t>бш</t>
    </r>
    <r>
      <rPr>
        <sz val="8"/>
        <color indexed="8"/>
        <rFont val="Times New Roman"/>
        <family val="1"/>
        <charset val="204"/>
      </rPr>
      <t>i =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Σ </t>
    </r>
    <r>
      <rPr>
        <i/>
        <sz val="11"/>
        <color indexed="8"/>
        <rFont val="Times New Roman"/>
        <family val="1"/>
        <charset val="204"/>
      </rPr>
      <t>(V</t>
    </r>
    <r>
      <rPr>
        <sz val="8"/>
        <color indexed="8"/>
        <rFont val="Times New Roman"/>
        <family val="1"/>
        <charset val="204"/>
      </rPr>
      <t xml:space="preserve">впi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псоi</t>
    </r>
    <r>
      <rPr>
        <sz val="11"/>
        <color indexed="8"/>
        <rFont val="Times New Roman"/>
        <family val="1"/>
        <charset val="204"/>
      </rPr>
      <t>)</t>
    </r>
  </si>
  <si>
    <t>ОБР</t>
  </si>
  <si>
    <t xml:space="preserve">Объем бурового раствора для интервала бурения </t>
  </si>
  <si>
    <r>
      <t>V</t>
    </r>
    <r>
      <rPr>
        <sz val="8"/>
        <color indexed="8"/>
        <rFont val="Times New Roman"/>
        <family val="1"/>
        <charset val="204"/>
      </rPr>
      <t>брi</t>
    </r>
  </si>
  <si>
    <r>
      <t>V</t>
    </r>
    <r>
      <rPr>
        <sz val="8"/>
        <color indexed="8"/>
        <rFont val="Times New Roman"/>
        <family val="1"/>
        <charset val="204"/>
      </rPr>
      <t>бр</t>
    </r>
    <r>
      <rPr>
        <sz val="8"/>
        <color indexed="8"/>
        <rFont val="Times New Roman"/>
        <family val="1"/>
        <charset val="204"/>
      </rPr>
      <t>i =</t>
    </r>
    <r>
      <rPr>
        <i/>
        <sz val="11"/>
        <color indexed="8"/>
        <rFont val="Times New Roman"/>
        <family val="1"/>
        <charset val="204"/>
      </rPr>
      <t xml:space="preserve"> V</t>
    </r>
    <r>
      <rPr>
        <sz val="8"/>
        <color indexed="8"/>
        <rFont val="Times New Roman"/>
        <family val="1"/>
        <charset val="204"/>
      </rPr>
      <t xml:space="preserve">цирi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разбi</t>
    </r>
  </si>
  <si>
    <t>Объем циркуляции бурового раствора</t>
  </si>
  <si>
    <r>
      <t>V</t>
    </r>
    <r>
      <rPr>
        <sz val="8"/>
        <color indexed="8"/>
        <rFont val="Times New Roman"/>
        <family val="1"/>
        <charset val="204"/>
      </rPr>
      <t>цирi</t>
    </r>
  </si>
  <si>
    <r>
      <t>V</t>
    </r>
    <r>
      <rPr>
        <sz val="8"/>
        <color indexed="8"/>
        <rFont val="Times New Roman"/>
        <family val="1"/>
        <charset val="204"/>
      </rPr>
      <t>цирi =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2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сi </t>
    </r>
    <r>
      <rPr>
        <sz val="11"/>
        <color indexed="8"/>
        <rFont val="Times New Roman"/>
        <family val="1"/>
        <charset val="204"/>
      </rPr>
      <t>+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пi  
</t>
    </r>
    <r>
      <rPr>
        <sz val="10"/>
        <color indexed="8"/>
        <rFont val="Times New Roman"/>
        <family val="1"/>
        <charset val="204"/>
      </rPr>
      <t>или</t>
    </r>
    <r>
      <rPr>
        <sz val="8"/>
        <color indexed="8"/>
        <rFont val="Times New Roman"/>
        <family val="1"/>
        <charset val="204"/>
      </rPr>
      <t xml:space="preserve"> 
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цирi =</t>
    </r>
    <r>
      <rPr>
        <sz val="11"/>
        <color indexed="8"/>
        <rFont val="Times New Roman"/>
        <family val="1"/>
        <charset val="204"/>
      </rPr>
      <t xml:space="preserve"> 2V</t>
    </r>
    <r>
      <rPr>
        <sz val="8"/>
        <color indexed="8"/>
        <rFont val="Times New Roman"/>
        <family val="1"/>
        <charset val="204"/>
      </rPr>
      <t xml:space="preserve">сi </t>
    </r>
    <r>
      <rPr>
        <sz val="11"/>
        <color indexed="8"/>
        <rFont val="Times New Roman"/>
        <family val="1"/>
        <charset val="204"/>
      </rPr>
      <t>+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пi </t>
    </r>
    <r>
      <rPr>
        <sz val="11"/>
        <color indexed="8"/>
        <rFont val="Times New Roman"/>
        <family val="1"/>
        <charset val="204"/>
      </rPr>
      <t xml:space="preserve">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повi</t>
    </r>
  </si>
  <si>
    <t>Объем скважины</t>
  </si>
  <si>
    <r>
      <t>V</t>
    </r>
    <r>
      <rPr>
        <sz val="8"/>
        <color indexed="8"/>
        <rFont val="Times New Roman"/>
        <family val="1"/>
        <charset val="204"/>
      </rPr>
      <t>сi</t>
    </r>
  </si>
  <si>
    <r>
      <t>V</t>
    </r>
    <r>
      <rPr>
        <sz val="8"/>
        <color indexed="8"/>
        <rFont val="Times New Roman"/>
        <family val="1"/>
        <charset val="204"/>
      </rPr>
      <t xml:space="preserve">сi = </t>
    </r>
    <r>
      <rPr>
        <i/>
        <sz val="11"/>
        <color indexed="8"/>
        <rFont val="Times New Roman"/>
        <family val="1"/>
        <charset val="204"/>
      </rPr>
      <t>k</t>
    </r>
    <r>
      <rPr>
        <i/>
        <sz val="8"/>
        <color indexed="8"/>
        <rFont val="Times New Roman"/>
        <family val="1"/>
        <charset val="204"/>
      </rPr>
      <t xml:space="preserve">i </t>
    </r>
    <r>
      <rPr>
        <sz val="11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π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долi</t>
    </r>
    <r>
      <rPr>
        <i/>
        <sz val="12"/>
        <color indexed="8"/>
        <rFont val="Times New Roman"/>
        <family val="1"/>
        <charset val="204"/>
      </rPr>
      <t xml:space="preserve">² / </t>
    </r>
    <r>
      <rPr>
        <i/>
        <sz val="11"/>
        <color indexed="8"/>
        <rFont val="Times New Roman"/>
        <family val="1"/>
        <charset val="204"/>
      </rPr>
      <t>4)ˑ L</t>
    </r>
    <r>
      <rPr>
        <i/>
        <sz val="8"/>
        <color indexed="8"/>
        <rFont val="Times New Roman"/>
        <family val="1"/>
        <charset val="204"/>
      </rPr>
      <t xml:space="preserve">i </t>
    </r>
    <r>
      <rPr>
        <i/>
        <sz val="11"/>
        <color indexed="8"/>
        <rFont val="Times New Roman"/>
        <family val="1"/>
        <charset val="204"/>
      </rPr>
      <t>+</t>
    </r>
    <r>
      <rPr>
        <i/>
        <sz val="8"/>
        <color indexed="8"/>
        <rFont val="Times New Roman"/>
        <family val="1"/>
        <charset val="204"/>
      </rPr>
      <t xml:space="preserve"> (</t>
    </r>
    <r>
      <rPr>
        <i/>
        <sz val="12"/>
        <color indexed="8"/>
        <rFont val="Times New Roman"/>
        <family val="1"/>
        <charset val="204"/>
      </rPr>
      <t>π</t>
    </r>
    <r>
      <rPr>
        <i/>
        <sz val="8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долi</t>
    </r>
    <r>
      <rPr>
        <i/>
        <sz val="8"/>
        <color indexed="8"/>
        <rFont val="Times New Roman"/>
        <family val="1"/>
        <charset val="204"/>
      </rPr>
      <t>-1</t>
    </r>
    <r>
      <rPr>
        <i/>
        <sz val="12"/>
        <color indexed="8"/>
        <rFont val="Times New Roman"/>
        <family val="1"/>
        <charset val="204"/>
      </rPr>
      <t>²</t>
    </r>
    <r>
      <rPr>
        <i/>
        <sz val="8"/>
        <color indexed="8"/>
        <rFont val="Times New Roman"/>
        <family val="1"/>
        <charset val="204"/>
      </rPr>
      <t xml:space="preserve"> / 4</t>
    </r>
    <r>
      <rPr>
        <sz val="11"/>
        <color indexed="8"/>
        <rFont val="Times New Roman"/>
        <family val="1"/>
        <charset val="204"/>
      </rPr>
      <t>)</t>
    </r>
    <r>
      <rPr>
        <i/>
        <sz val="11"/>
        <color indexed="8"/>
        <rFont val="Times New Roman"/>
        <family val="1"/>
        <charset val="204"/>
      </rPr>
      <t>ˑ L</t>
    </r>
    <r>
      <rPr>
        <sz val="8"/>
        <color indexed="8"/>
        <rFont val="Times New Roman"/>
        <family val="1"/>
        <charset val="204"/>
      </rPr>
      <t xml:space="preserve">окi-1 </t>
    </r>
  </si>
  <si>
    <t>Объем потерь</t>
  </si>
  <si>
    <r>
      <t>V</t>
    </r>
    <r>
      <rPr>
        <sz val="8"/>
        <color indexed="8"/>
        <rFont val="Times New Roman"/>
        <family val="1"/>
        <charset val="204"/>
      </rPr>
      <t>пi</t>
    </r>
  </si>
  <si>
    <r>
      <t>V</t>
    </r>
    <r>
      <rPr>
        <sz val="8"/>
        <color indexed="8"/>
        <rFont val="Times New Roman"/>
        <family val="1"/>
        <charset val="204"/>
      </rPr>
      <t>пi =</t>
    </r>
    <r>
      <rPr>
        <i/>
        <sz val="11"/>
        <color indexed="8"/>
        <rFont val="Times New Roman"/>
        <family val="1"/>
        <charset val="204"/>
      </rPr>
      <t xml:space="preserve"> V</t>
    </r>
    <r>
      <rPr>
        <sz val="8"/>
        <color indexed="8"/>
        <rFont val="Times New Roman"/>
        <family val="1"/>
        <charset val="204"/>
      </rPr>
      <t xml:space="preserve">псоi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пфi</t>
    </r>
  </si>
  <si>
    <t>Объем потерь бурового раствора на фильтрацию</t>
  </si>
  <si>
    <r>
      <t>V</t>
    </r>
    <r>
      <rPr>
        <sz val="8"/>
        <color indexed="8"/>
        <rFont val="Times New Roman"/>
        <family val="1"/>
        <charset val="204"/>
      </rPr>
      <t>пфi</t>
    </r>
  </si>
  <si>
    <r>
      <t>V</t>
    </r>
    <r>
      <rPr>
        <i/>
        <sz val="8"/>
        <color indexed="8"/>
        <rFont val="Times New Roman"/>
        <family val="1"/>
        <charset val="204"/>
      </rPr>
      <t>пф</t>
    </r>
    <r>
      <rPr>
        <sz val="8"/>
        <color indexed="8"/>
        <rFont val="Times New Roman"/>
        <family val="1"/>
        <charset val="204"/>
      </rPr>
      <t>i</t>
    </r>
    <r>
      <rPr>
        <sz val="8"/>
        <color indexed="8"/>
        <rFont val="Times New Roman"/>
        <family val="1"/>
        <charset val="204"/>
      </rPr>
      <t xml:space="preserve"> =</t>
    </r>
    <r>
      <rPr>
        <sz val="11"/>
        <color indexed="8"/>
        <rFont val="Times New Roman"/>
        <family val="1"/>
        <charset val="204"/>
      </rPr>
      <t xml:space="preserve"> Ф</t>
    </r>
    <r>
      <rPr>
        <sz val="8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 xml:space="preserve"> ˑ </t>
    </r>
    <r>
      <rPr>
        <i/>
        <sz val="11"/>
        <color indexed="8"/>
        <rFont val="Times New Roman"/>
        <family val="1"/>
        <charset val="204"/>
      </rPr>
      <t>T</t>
    </r>
    <r>
      <rPr>
        <sz val="8"/>
        <color indexed="8"/>
        <rFont val="Times New Roman"/>
        <family val="1"/>
        <charset val="204"/>
      </rPr>
      <t>стрi</t>
    </r>
  </si>
  <si>
    <t>вспомогательные расчеты</t>
  </si>
  <si>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разб</t>
    </r>
  </si>
  <si>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разб</t>
    </r>
    <r>
      <rPr>
        <sz val="11"/>
        <color indexed="8"/>
        <rFont val="Times New Roman"/>
        <family val="1"/>
        <charset val="204"/>
      </rPr>
      <t xml:space="preserve"> = (</t>
    </r>
    <r>
      <rPr>
        <i/>
        <sz val="11"/>
        <color indexed="8"/>
        <rFont val="Times New Roman"/>
        <family val="1"/>
        <charset val="204"/>
      </rPr>
      <t>ТФ</t>
    </r>
    <r>
      <rPr>
        <sz val="8"/>
        <color indexed="8"/>
        <rFont val="Times New Roman"/>
        <family val="1"/>
        <charset val="204"/>
      </rPr>
      <t xml:space="preserve">ожидi </t>
    </r>
    <r>
      <rPr>
        <sz val="11"/>
        <color indexed="8"/>
        <rFont val="Times New Roman"/>
        <family val="1"/>
        <charset val="204"/>
      </rPr>
      <t xml:space="preserve">- </t>
    </r>
    <r>
      <rPr>
        <i/>
        <sz val="11"/>
        <color indexed="8"/>
        <rFont val="Times New Roman"/>
        <family val="1"/>
        <charset val="204"/>
      </rPr>
      <t>ТФ</t>
    </r>
    <r>
      <rPr>
        <sz val="8"/>
        <color indexed="8"/>
        <rFont val="Times New Roman"/>
        <family val="1"/>
        <charset val="204"/>
      </rPr>
      <t>планi</t>
    </r>
    <r>
      <rPr>
        <sz val="11"/>
        <color indexed="8"/>
        <rFont val="Times New Roman"/>
        <family val="1"/>
        <charset val="204"/>
      </rPr>
      <t xml:space="preserve">) / </t>
    </r>
    <r>
      <rPr>
        <i/>
        <sz val="11"/>
        <color indexed="8"/>
        <rFont val="Times New Roman"/>
        <family val="1"/>
        <charset val="204"/>
      </rPr>
      <t>ТФ</t>
    </r>
    <r>
      <rPr>
        <sz val="8"/>
        <color indexed="8"/>
        <rFont val="Times New Roman"/>
        <family val="1"/>
        <charset val="204"/>
      </rPr>
      <t>планi</t>
    </r>
    <r>
      <rPr>
        <sz val="11"/>
        <color indexed="8"/>
        <rFont val="Times New Roman"/>
        <family val="1"/>
        <charset val="204"/>
      </rPr>
      <t xml:space="preserve"> ˑ</t>
    </r>
    <r>
      <rPr>
        <i/>
        <sz val="11"/>
        <color indexed="8"/>
        <rFont val="Times New Roman"/>
        <family val="1"/>
        <charset val="204"/>
      </rPr>
      <t xml:space="preserve"> V</t>
    </r>
    <r>
      <rPr>
        <sz val="8"/>
        <color indexed="8"/>
        <rFont val="Times New Roman"/>
        <family val="1"/>
        <charset val="204"/>
      </rPr>
      <t>цирi</t>
    </r>
  </si>
  <si>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разб =</t>
    </r>
    <r>
      <rPr>
        <sz val="11"/>
        <color indexed="8"/>
        <rFont val="Times New Roman"/>
        <family val="1"/>
        <charset val="204"/>
      </rPr>
      <t xml:space="preserve"> (</t>
    </r>
    <r>
      <rPr>
        <i/>
        <sz val="12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 xml:space="preserve">кон - </t>
    </r>
    <r>
      <rPr>
        <i/>
        <sz val="12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план</t>
    </r>
    <r>
      <rPr>
        <sz val="11"/>
        <color indexed="8"/>
        <rFont val="Times New Roman"/>
        <family val="1"/>
        <charset val="204"/>
      </rPr>
      <t>) ˑ (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цирк + </t>
    </r>
    <r>
      <rPr>
        <sz val="11"/>
        <color indexed="8"/>
        <rFont val="Times New Roman"/>
        <family val="1"/>
        <charset val="204"/>
      </rPr>
      <t xml:space="preserve">(1 - </t>
    </r>
    <r>
      <rPr>
        <sz val="12"/>
        <color indexed="8"/>
        <rFont val="Times New Roman"/>
        <family val="1"/>
        <charset val="204"/>
      </rPr>
      <t>ɛ</t>
    </r>
    <r>
      <rPr>
        <sz val="11"/>
        <color indexed="8"/>
        <rFont val="Times New Roman"/>
        <family val="1"/>
        <charset val="204"/>
      </rPr>
      <t xml:space="preserve">)ˑ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впi</t>
    </r>
    <r>
      <rPr>
        <sz val="11"/>
        <color indexed="8"/>
        <rFont val="Times New Roman"/>
        <family val="1"/>
        <charset val="204"/>
      </rPr>
      <t xml:space="preserve">) / </t>
    </r>
    <r>
      <rPr>
        <sz val="12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планi</t>
    </r>
  </si>
  <si>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разб = (</t>
    </r>
    <r>
      <rPr>
        <i/>
        <sz val="11"/>
        <color indexed="8"/>
        <rFont val="Times New Roman"/>
        <family val="1"/>
        <charset val="204"/>
      </rPr>
      <t>C</t>
    </r>
    <r>
      <rPr>
        <sz val="8"/>
        <color indexed="8"/>
        <rFont val="Times New Roman"/>
        <family val="1"/>
        <charset val="204"/>
      </rPr>
      <t xml:space="preserve">нарi - </t>
    </r>
    <r>
      <rPr>
        <i/>
        <sz val="11"/>
        <color indexed="8"/>
        <rFont val="Times New Roman"/>
        <family val="1"/>
        <charset val="204"/>
      </rPr>
      <t>С</t>
    </r>
    <r>
      <rPr>
        <sz val="8"/>
        <color indexed="8"/>
        <rFont val="Times New Roman"/>
        <family val="1"/>
        <charset val="204"/>
      </rPr>
      <t xml:space="preserve">допi) / </t>
    </r>
    <r>
      <rPr>
        <i/>
        <sz val="11"/>
        <color indexed="8"/>
        <rFont val="Times New Roman"/>
        <family val="1"/>
        <charset val="204"/>
      </rPr>
      <t>С</t>
    </r>
    <r>
      <rPr>
        <sz val="8"/>
        <color indexed="8"/>
        <rFont val="Times New Roman"/>
        <family val="1"/>
        <charset val="204"/>
      </rPr>
      <t xml:space="preserve">допi ˑ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цирi</t>
    </r>
  </si>
  <si>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разб</t>
    </r>
    <r>
      <rPr>
        <sz val="11"/>
        <color indexed="8"/>
        <rFont val="Times New Roman"/>
        <family val="1"/>
        <charset val="204"/>
      </rPr>
      <t xml:space="preserve"> = (</t>
    </r>
    <r>
      <rPr>
        <i/>
        <sz val="11"/>
        <color indexed="8"/>
        <rFont val="Times New Roman"/>
        <family val="1"/>
        <charset val="204"/>
      </rPr>
      <t>МВТ</t>
    </r>
    <r>
      <rPr>
        <sz val="8"/>
        <color indexed="8"/>
        <rFont val="Times New Roman"/>
        <family val="1"/>
        <charset val="204"/>
      </rPr>
      <t xml:space="preserve">ожидi </t>
    </r>
    <r>
      <rPr>
        <sz val="11"/>
        <color indexed="8"/>
        <rFont val="Times New Roman"/>
        <family val="1"/>
        <charset val="204"/>
      </rPr>
      <t xml:space="preserve">- </t>
    </r>
    <r>
      <rPr>
        <i/>
        <sz val="11"/>
        <color indexed="8"/>
        <rFont val="Times New Roman"/>
        <family val="1"/>
        <charset val="204"/>
      </rPr>
      <t>МВТ</t>
    </r>
    <r>
      <rPr>
        <sz val="8"/>
        <color indexed="8"/>
        <rFont val="Times New Roman"/>
        <family val="1"/>
        <charset val="204"/>
      </rPr>
      <t>планi</t>
    </r>
    <r>
      <rPr>
        <sz val="11"/>
        <color indexed="8"/>
        <rFont val="Times New Roman"/>
        <family val="1"/>
        <charset val="204"/>
      </rPr>
      <t xml:space="preserve">) / </t>
    </r>
    <r>
      <rPr>
        <i/>
        <sz val="11"/>
        <color indexed="8"/>
        <rFont val="Times New Roman"/>
        <family val="1"/>
        <charset val="204"/>
      </rPr>
      <t>МВТ</t>
    </r>
    <r>
      <rPr>
        <sz val="8"/>
        <color indexed="8"/>
        <rFont val="Times New Roman"/>
        <family val="1"/>
        <charset val="204"/>
      </rPr>
      <t>планi</t>
    </r>
    <r>
      <rPr>
        <sz val="11"/>
        <color indexed="8"/>
        <rFont val="Times New Roman"/>
        <family val="1"/>
        <charset val="204"/>
      </rPr>
      <t xml:space="preserve"> ˑ</t>
    </r>
    <r>
      <rPr>
        <i/>
        <sz val="11"/>
        <color indexed="8"/>
        <rFont val="Times New Roman"/>
        <family val="1"/>
        <charset val="204"/>
      </rPr>
      <t xml:space="preserve"> V</t>
    </r>
    <r>
      <rPr>
        <sz val="8"/>
        <color indexed="8"/>
        <rFont val="Times New Roman"/>
        <family val="1"/>
        <charset val="204"/>
      </rPr>
      <t>цирi</t>
    </r>
  </si>
  <si>
    <t>Объем разбавления</t>
  </si>
  <si>
    <r>
      <t>V</t>
    </r>
    <r>
      <rPr>
        <sz val="8"/>
        <color indexed="8"/>
        <rFont val="Times New Roman"/>
        <family val="1"/>
        <charset val="204"/>
      </rPr>
      <t>разбi</t>
    </r>
  </si>
  <si>
    <t>Максимальное значение по вспомогательныи расчетам</t>
  </si>
  <si>
    <t>Содержание твердой фазы до разбавления</t>
  </si>
  <si>
    <r>
      <t>ТФ</t>
    </r>
    <r>
      <rPr>
        <sz val="8"/>
        <color indexed="8"/>
        <rFont val="Times New Roman"/>
        <family val="1"/>
        <charset val="204"/>
      </rPr>
      <t>до разбi</t>
    </r>
  </si>
  <si>
    <r>
      <t>ТФ</t>
    </r>
    <r>
      <rPr>
        <sz val="8"/>
        <color indexed="8"/>
        <rFont val="Times New Roman"/>
        <family val="1"/>
        <charset val="204"/>
      </rPr>
      <t xml:space="preserve">до разбi = </t>
    </r>
    <r>
      <rPr>
        <sz val="11"/>
        <color indexed="8"/>
        <rFont val="Times New Roman"/>
        <family val="1"/>
        <charset val="204"/>
      </rPr>
      <t>(1 -</t>
    </r>
    <r>
      <rPr>
        <sz val="14"/>
        <color indexed="8"/>
        <rFont val="Times New Roman"/>
        <family val="1"/>
        <charset val="204"/>
      </rPr>
      <t xml:space="preserve"> </t>
    </r>
    <r>
      <rPr>
        <i/>
        <sz val="14"/>
        <color indexed="8"/>
        <rFont val="Times New Roman"/>
        <family val="1"/>
        <charset val="204"/>
      </rPr>
      <t>ɛ</t>
    </r>
    <r>
      <rPr>
        <i/>
        <sz val="11"/>
        <color indexed="8"/>
        <rFont val="Times New Roman"/>
        <family val="1"/>
        <charset val="204"/>
      </rPr>
      <t>)</t>
    </r>
    <r>
      <rPr>
        <sz val="11"/>
        <color indexed="8"/>
        <rFont val="Times New Roman"/>
        <family val="1"/>
        <charset val="204"/>
      </rPr>
      <t>ˑ(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пi</t>
    </r>
    <r>
      <rPr>
        <sz val="11"/>
        <color indexed="8"/>
        <rFont val="Times New Roman"/>
        <family val="1"/>
        <charset val="204"/>
      </rPr>
      <t xml:space="preserve"> /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цирi</t>
    </r>
    <r>
      <rPr>
        <sz val="12"/>
        <color indexed="8"/>
        <rFont val="Times New Roman"/>
        <family val="1"/>
        <charset val="204"/>
      </rPr>
      <t>)ˑ</t>
    </r>
    <r>
      <rPr>
        <sz val="11"/>
        <color indexed="8"/>
        <rFont val="Times New Roman"/>
        <family val="1"/>
        <charset val="204"/>
      </rPr>
      <t>100% + ТФ</t>
    </r>
    <r>
      <rPr>
        <sz val="8"/>
        <color indexed="8"/>
        <rFont val="Times New Roman"/>
        <family val="1"/>
        <charset val="204"/>
      </rPr>
      <t>расчi</t>
    </r>
  </si>
  <si>
    <t>Содержание выбуренной породы до разбавления</t>
  </si>
  <si>
    <r>
      <t>C</t>
    </r>
    <r>
      <rPr>
        <sz val="8"/>
        <color indexed="8"/>
        <rFont val="Times New Roman"/>
        <family val="1"/>
        <charset val="204"/>
      </rPr>
      <t>нарi</t>
    </r>
  </si>
  <si>
    <r>
      <t>C</t>
    </r>
    <r>
      <rPr>
        <sz val="8"/>
        <color indexed="8"/>
        <rFont val="Times New Roman"/>
        <family val="1"/>
        <charset val="204"/>
      </rPr>
      <t>нарi</t>
    </r>
    <r>
      <rPr>
        <sz val="8"/>
        <color indexed="8"/>
        <rFont val="Times New Roman"/>
        <family val="1"/>
        <charset val="204"/>
      </rPr>
      <t xml:space="preserve"> = </t>
    </r>
    <r>
      <rPr>
        <sz val="11"/>
        <color indexed="8"/>
        <rFont val="Times New Roman"/>
        <family val="1"/>
        <charset val="204"/>
      </rPr>
      <t>(1 -</t>
    </r>
    <r>
      <rPr>
        <sz val="14"/>
        <color indexed="8"/>
        <rFont val="Times New Roman"/>
        <family val="1"/>
        <charset val="204"/>
      </rPr>
      <t xml:space="preserve"> </t>
    </r>
    <r>
      <rPr>
        <i/>
        <sz val="14"/>
        <color indexed="8"/>
        <rFont val="Times New Roman"/>
        <family val="1"/>
        <charset val="204"/>
      </rPr>
      <t>ɛ</t>
    </r>
    <r>
      <rPr>
        <i/>
        <sz val="11"/>
        <color indexed="8"/>
        <rFont val="Times New Roman"/>
        <family val="1"/>
        <charset val="204"/>
      </rPr>
      <t>)</t>
    </r>
    <r>
      <rPr>
        <sz val="11"/>
        <color indexed="8"/>
        <rFont val="Times New Roman"/>
        <family val="1"/>
        <charset val="204"/>
      </rPr>
      <t>ˑ(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пi</t>
    </r>
    <r>
      <rPr>
        <sz val="11"/>
        <color indexed="8"/>
        <rFont val="Times New Roman"/>
        <family val="1"/>
        <charset val="204"/>
      </rPr>
      <t xml:space="preserve"> /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цирi</t>
    </r>
    <r>
      <rPr>
        <sz val="12"/>
        <color indexed="8"/>
        <rFont val="Times New Roman"/>
        <family val="1"/>
        <charset val="204"/>
      </rPr>
      <t>)ˑ</t>
    </r>
    <r>
      <rPr>
        <sz val="11"/>
        <color indexed="8"/>
        <rFont val="Times New Roman"/>
        <family val="1"/>
        <charset val="204"/>
      </rPr>
      <t>100%</t>
    </r>
  </si>
  <si>
    <t>Плотность бурового раствора до разбавления</t>
  </si>
  <si>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кон</t>
    </r>
  </si>
  <si>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кон</t>
    </r>
    <r>
      <rPr>
        <sz val="11"/>
        <color indexed="8"/>
        <rFont val="Times New Roman"/>
        <family val="1"/>
        <charset val="204"/>
      </rPr>
      <t xml:space="preserve"> = (</t>
    </r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планˑ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цирi</t>
    </r>
    <r>
      <rPr>
        <sz val="11"/>
        <color indexed="8"/>
        <rFont val="Times New Roman"/>
        <family val="1"/>
        <charset val="204"/>
      </rPr>
      <t>+</t>
    </r>
    <r>
      <rPr>
        <sz val="8"/>
        <color indexed="8"/>
        <rFont val="Times New Roman"/>
        <family val="1"/>
        <charset val="204"/>
      </rPr>
      <t>(</t>
    </r>
    <r>
      <rPr>
        <sz val="11"/>
        <color indexed="8"/>
        <rFont val="Times New Roman"/>
        <family val="1"/>
        <charset val="204"/>
      </rPr>
      <t>1-</t>
    </r>
    <r>
      <rPr>
        <i/>
        <sz val="14"/>
        <color indexed="8"/>
        <rFont val="Times New Roman"/>
        <family val="1"/>
        <charset val="204"/>
      </rPr>
      <t>ɛ</t>
    </r>
    <r>
      <rPr>
        <sz val="8"/>
        <color indexed="8"/>
        <rFont val="Times New Roman"/>
        <family val="1"/>
        <charset val="204"/>
      </rPr>
      <t>)</t>
    </r>
    <r>
      <rPr>
        <sz val="11"/>
        <color indexed="8"/>
        <rFont val="Times New Roman"/>
        <family val="1"/>
        <charset val="204"/>
      </rPr>
      <t>ˑ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впi) </t>
    </r>
    <r>
      <rPr>
        <sz val="11"/>
        <color indexed="8"/>
        <rFont val="Times New Roman"/>
        <family val="1"/>
        <charset val="204"/>
      </rPr>
      <t>/</t>
    </r>
    <r>
      <rPr>
        <sz val="8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(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цирi</t>
    </r>
    <r>
      <rPr>
        <sz val="11"/>
        <color indexed="8"/>
        <rFont val="Times New Roman"/>
        <family val="1"/>
        <charset val="204"/>
      </rPr>
      <t>+(1-</t>
    </r>
    <r>
      <rPr>
        <sz val="12"/>
        <color indexed="8"/>
        <rFont val="Times New Roman"/>
        <family val="1"/>
        <charset val="204"/>
      </rPr>
      <t>ɛ</t>
    </r>
    <r>
      <rPr>
        <sz val="11"/>
        <color indexed="8"/>
        <rFont val="Times New Roman"/>
        <family val="1"/>
        <charset val="204"/>
      </rPr>
      <t>)ˑ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впi</t>
    </r>
    <r>
      <rPr>
        <sz val="11"/>
        <color indexed="8"/>
        <rFont val="Times New Roman"/>
        <family val="1"/>
        <charset val="204"/>
      </rPr>
      <t>)</t>
    </r>
  </si>
  <si>
    <t>Средневзвешенная плотность выбуренной породы</t>
  </si>
  <si>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вп</t>
    </r>
  </si>
  <si>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 xml:space="preserve">вп = </t>
    </r>
    <r>
      <rPr>
        <sz val="12"/>
        <color indexed="8"/>
        <rFont val="Times New Roman"/>
        <family val="1"/>
        <charset val="204"/>
      </rPr>
      <t xml:space="preserve">Σ </t>
    </r>
    <r>
      <rPr>
        <sz val="11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 xml:space="preserve">впi ˑ </t>
    </r>
    <r>
      <rPr>
        <i/>
        <sz val="11"/>
        <color indexed="8"/>
        <rFont val="Times New Roman"/>
        <family val="1"/>
        <charset val="204"/>
      </rPr>
      <t>L</t>
    </r>
    <r>
      <rPr>
        <sz val="8"/>
        <color indexed="8"/>
        <rFont val="Times New Roman"/>
        <family val="1"/>
        <charset val="204"/>
      </rPr>
      <t>впi</t>
    </r>
    <r>
      <rPr>
        <sz val="11"/>
        <color indexed="8"/>
        <rFont val="Times New Roman"/>
        <family val="1"/>
        <charset val="204"/>
      </rPr>
      <t xml:space="preserve">) / </t>
    </r>
    <r>
      <rPr>
        <i/>
        <sz val="11"/>
        <color indexed="8"/>
        <rFont val="Times New Roman"/>
        <family val="1"/>
        <charset val="204"/>
      </rPr>
      <t>L</t>
    </r>
    <r>
      <rPr>
        <sz val="8"/>
        <color indexed="8"/>
        <rFont val="Times New Roman"/>
        <family val="1"/>
        <charset val="204"/>
      </rPr>
      <t>впi</t>
    </r>
  </si>
  <si>
    <t>Содержание активной коллоидной фазы до разбавления</t>
  </si>
  <si>
    <r>
      <t>MBT</t>
    </r>
    <r>
      <rPr>
        <sz val="8"/>
        <color indexed="8"/>
        <rFont val="Times New Roman"/>
        <family val="1"/>
        <charset val="204"/>
      </rPr>
      <t>ожид</t>
    </r>
  </si>
  <si>
    <r>
      <t>MBT</t>
    </r>
    <r>
      <rPr>
        <sz val="8"/>
        <color indexed="8"/>
        <rFont val="Times New Roman"/>
        <family val="1"/>
        <charset val="204"/>
      </rPr>
      <t xml:space="preserve">ожид = </t>
    </r>
    <r>
      <rPr>
        <sz val="11"/>
        <color indexed="8"/>
        <rFont val="Times New Roman"/>
        <family val="1"/>
        <charset val="204"/>
      </rPr>
      <t>M</t>
    </r>
    <r>
      <rPr>
        <sz val="8"/>
        <color indexed="8"/>
        <rFont val="Times New Roman"/>
        <family val="1"/>
        <charset val="204"/>
      </rPr>
      <t xml:space="preserve">глпдиспi / </t>
    </r>
    <r>
      <rPr>
        <i/>
        <sz val="11"/>
        <color indexed="8"/>
        <rFont val="Times New Roman"/>
        <family val="1"/>
        <charset val="204"/>
      </rPr>
      <t>V</t>
    </r>
    <r>
      <rPr>
        <i/>
        <sz val="8"/>
        <color indexed="8"/>
        <rFont val="Times New Roman"/>
        <family val="1"/>
        <charset val="204"/>
      </rPr>
      <t>цирi</t>
    </r>
  </si>
  <si>
    <t>Масса активной коллоидной фазы</t>
  </si>
  <si>
    <r>
      <t>M</t>
    </r>
    <r>
      <rPr>
        <sz val="8"/>
        <color indexed="8"/>
        <rFont val="Times New Roman"/>
        <family val="1"/>
        <charset val="204"/>
      </rPr>
      <t>глпдисцпi</t>
    </r>
  </si>
  <si>
    <r>
      <t>M</t>
    </r>
    <r>
      <rPr>
        <sz val="8"/>
        <color indexed="8"/>
        <rFont val="Times New Roman"/>
        <family val="1"/>
        <charset val="204"/>
      </rPr>
      <t xml:space="preserve">глпдиспi = </t>
    </r>
    <r>
      <rPr>
        <sz val="11"/>
        <color indexed="8"/>
        <rFont val="Times New Roman"/>
        <family val="1"/>
        <charset val="204"/>
      </rPr>
      <t>(1</t>
    </r>
    <r>
      <rPr>
        <sz val="8"/>
        <color indexed="8"/>
        <rFont val="Times New Roman"/>
        <family val="1"/>
        <charset val="204"/>
      </rPr>
      <t xml:space="preserve"> - </t>
    </r>
    <r>
      <rPr>
        <i/>
        <sz val="11"/>
        <color indexed="8"/>
        <rFont val="Times New Roman"/>
        <family val="1"/>
        <charset val="204"/>
      </rPr>
      <t>K</t>
    </r>
    <r>
      <rPr>
        <sz val="8"/>
        <color indexed="8"/>
        <rFont val="Times New Roman"/>
        <family val="1"/>
        <charset val="204"/>
      </rPr>
      <t>извi</t>
    </r>
    <r>
      <rPr>
        <sz val="11"/>
        <color indexed="8"/>
        <rFont val="Times New Roman"/>
        <family val="1"/>
        <charset val="204"/>
      </rPr>
      <t xml:space="preserve">) </t>
    </r>
    <r>
      <rPr>
        <sz val="11"/>
        <color indexed="8"/>
        <rFont val="Times New Roman"/>
        <family val="1"/>
        <charset val="204"/>
      </rPr>
      <t>ˑ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M</t>
    </r>
    <r>
      <rPr>
        <sz val="8"/>
        <color indexed="8"/>
        <rFont val="Times New Roman"/>
        <family val="1"/>
        <charset val="204"/>
      </rPr>
      <t>глпнеудi</t>
    </r>
  </si>
  <si>
    <t>Масса активной глинистой породы, неудаленной на системе очистки</t>
  </si>
  <si>
    <r>
      <t>M</t>
    </r>
    <r>
      <rPr>
        <sz val="8"/>
        <color indexed="8"/>
        <rFont val="Times New Roman"/>
        <family val="1"/>
        <charset val="204"/>
      </rPr>
      <t>гл.п.неуд</t>
    </r>
  </si>
  <si>
    <r>
      <t>M</t>
    </r>
    <r>
      <rPr>
        <sz val="8"/>
        <color indexed="8"/>
        <rFont val="Times New Roman"/>
        <family val="1"/>
        <charset val="204"/>
      </rPr>
      <t xml:space="preserve">гл.п.неудi =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гл.п.неуд</t>
    </r>
    <r>
      <rPr>
        <sz val="11"/>
        <color indexed="8"/>
        <rFont val="Times New Roman"/>
        <family val="1"/>
        <charset val="204"/>
      </rPr>
      <t xml:space="preserve">i ˑ </t>
    </r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гл.п</t>
    </r>
  </si>
  <si>
    <t>Объем активной глинистой породы, неудаленной на системе очистки</t>
  </si>
  <si>
    <r>
      <t>V</t>
    </r>
    <r>
      <rPr>
        <sz val="8"/>
        <color indexed="8"/>
        <rFont val="Times New Roman"/>
        <family val="1"/>
        <charset val="204"/>
      </rPr>
      <t>гл.п.неуд</t>
    </r>
  </si>
  <si>
    <r>
      <t>V</t>
    </r>
    <r>
      <rPr>
        <sz val="8"/>
        <color indexed="8"/>
        <rFont val="Times New Roman"/>
        <family val="1"/>
        <charset val="204"/>
      </rPr>
      <t xml:space="preserve">гл.п.неуд = </t>
    </r>
    <r>
      <rPr>
        <i/>
        <sz val="11"/>
        <color indexed="8"/>
        <rFont val="Times New Roman"/>
        <family val="1"/>
        <charset val="204"/>
      </rPr>
      <t>(1 - ɛ)ˑkˑ</t>
    </r>
    <r>
      <rPr>
        <sz val="11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π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долi</t>
    </r>
    <r>
      <rPr>
        <i/>
        <sz val="12"/>
        <color indexed="8"/>
        <rFont val="Times New Roman"/>
        <family val="1"/>
        <charset val="204"/>
      </rPr>
      <t xml:space="preserve">² / </t>
    </r>
    <r>
      <rPr>
        <i/>
        <sz val="11"/>
        <color indexed="8"/>
        <rFont val="Times New Roman"/>
        <family val="1"/>
        <charset val="204"/>
      </rPr>
      <t>4) L</t>
    </r>
    <r>
      <rPr>
        <sz val="8"/>
        <color indexed="8"/>
        <rFont val="Times New Roman"/>
        <family val="1"/>
        <charset val="204"/>
      </rPr>
      <t>гл.п</t>
    </r>
  </si>
  <si>
    <t xml:space="preserve">Объём буферной жидкости, используемой при цементировании обсадной колонны </t>
  </si>
  <si>
    <r>
      <t>V</t>
    </r>
    <r>
      <rPr>
        <sz val="8"/>
        <color indexed="8"/>
        <rFont val="Times New Roman"/>
        <family val="1"/>
        <charset val="204"/>
      </rPr>
      <t>бжi</t>
    </r>
  </si>
  <si>
    <r>
      <t>V</t>
    </r>
    <r>
      <rPr>
        <sz val="8"/>
        <color indexed="8"/>
        <rFont val="Times New Roman"/>
        <family val="1"/>
        <charset val="204"/>
      </rPr>
      <t xml:space="preserve">бж = </t>
    </r>
    <r>
      <rPr>
        <i/>
        <sz val="12"/>
        <color indexed="8"/>
        <rFont val="Times New Roman"/>
        <family val="1"/>
        <charset val="204"/>
      </rPr>
      <t>π(k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дол</t>
    </r>
    <r>
      <rPr>
        <i/>
        <sz val="12"/>
        <color indexed="8"/>
        <rFont val="Times New Roman"/>
        <family val="1"/>
        <charset val="204"/>
      </rPr>
      <t>² - D</t>
    </r>
    <r>
      <rPr>
        <sz val="8"/>
        <color indexed="8"/>
        <rFont val="Times New Roman"/>
        <family val="1"/>
        <charset val="204"/>
      </rPr>
      <t>нарокi</t>
    </r>
    <r>
      <rPr>
        <i/>
        <sz val="12"/>
        <color indexed="8"/>
        <rFont val="Times New Roman"/>
        <family val="1"/>
        <charset val="204"/>
      </rPr>
      <t>²</t>
    </r>
    <r>
      <rPr>
        <i/>
        <sz val="11"/>
        <color indexed="8"/>
        <rFont val="Times New Roman"/>
        <family val="1"/>
        <charset val="204"/>
      </rPr>
      <t>) / 4 ˑ Н</t>
    </r>
    <r>
      <rPr>
        <sz val="8"/>
        <color indexed="8"/>
        <rFont val="Times New Roman"/>
        <family val="1"/>
        <charset val="204"/>
      </rPr>
      <t>бж</t>
    </r>
  </si>
  <si>
    <t xml:space="preserve">Объём буферной жидкости, используемой при установке цементного моста </t>
  </si>
  <si>
    <r>
      <t>V</t>
    </r>
    <r>
      <rPr>
        <sz val="8"/>
        <color indexed="8"/>
        <rFont val="Times New Roman"/>
        <family val="1"/>
        <charset val="204"/>
      </rPr>
      <t>уцмi</t>
    </r>
  </si>
  <si>
    <r>
      <t>V</t>
    </r>
    <r>
      <rPr>
        <sz val="8"/>
        <color indexed="8"/>
        <rFont val="Times New Roman"/>
        <family val="1"/>
        <charset val="204"/>
      </rPr>
      <t xml:space="preserve">уцм = </t>
    </r>
    <r>
      <rPr>
        <i/>
        <sz val="12"/>
        <color indexed="8"/>
        <rFont val="Times New Roman"/>
        <family val="1"/>
        <charset val="204"/>
      </rPr>
      <t>π(k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долi</t>
    </r>
    <r>
      <rPr>
        <i/>
        <sz val="12"/>
        <color indexed="8"/>
        <rFont val="Times New Roman"/>
        <family val="1"/>
        <charset val="204"/>
      </rPr>
      <t>² - D</t>
    </r>
    <r>
      <rPr>
        <sz val="8"/>
        <color indexed="8"/>
        <rFont val="Times New Roman"/>
        <family val="1"/>
        <charset val="204"/>
      </rPr>
      <t>инстрi</t>
    </r>
    <r>
      <rPr>
        <i/>
        <sz val="12"/>
        <color indexed="8"/>
        <rFont val="Times New Roman"/>
        <family val="1"/>
        <charset val="204"/>
      </rPr>
      <t>²</t>
    </r>
    <r>
      <rPr>
        <i/>
        <sz val="11"/>
        <color indexed="8"/>
        <rFont val="Times New Roman"/>
        <family val="1"/>
        <charset val="204"/>
      </rPr>
      <t>) / 4 ˑ Н</t>
    </r>
    <r>
      <rPr>
        <sz val="8"/>
        <color indexed="8"/>
        <rFont val="Times New Roman"/>
        <family val="1"/>
        <charset val="204"/>
      </rPr>
      <t>уцм</t>
    </r>
  </si>
  <si>
    <t>Объем бурового раствора, утилизируемого после срезки/разбуривания цементного моста/разбуривания цементного стакана</t>
  </si>
  <si>
    <r>
      <t>V</t>
    </r>
    <r>
      <rPr>
        <sz val="8"/>
        <color indexed="8"/>
        <rFont val="Times New Roman"/>
        <family val="1"/>
        <charset val="204"/>
      </rPr>
      <t>рцмi</t>
    </r>
  </si>
  <si>
    <r>
      <t>V</t>
    </r>
    <r>
      <rPr>
        <sz val="8"/>
        <color indexed="8"/>
        <rFont val="Times New Roman"/>
        <family val="1"/>
        <charset val="204"/>
      </rPr>
      <t>рцмсi=</t>
    </r>
    <r>
      <rPr>
        <sz val="11"/>
        <color indexed="8"/>
        <rFont val="Times New Roman"/>
        <family val="1"/>
        <charset val="204"/>
      </rPr>
      <t>(</t>
    </r>
    <r>
      <rPr>
        <i/>
        <sz val="12"/>
        <color indexed="8"/>
        <rFont val="Times New Roman"/>
        <family val="1"/>
        <charset val="204"/>
      </rPr>
      <t>π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внокi</t>
    </r>
    <r>
      <rPr>
        <sz val="11"/>
        <color indexed="8"/>
        <rFont val="Times New Roman"/>
        <family val="1"/>
        <charset val="204"/>
      </rPr>
      <t>-1</t>
    </r>
    <r>
      <rPr>
        <i/>
        <sz val="12"/>
        <color indexed="8"/>
        <rFont val="Times New Roman"/>
        <family val="1"/>
        <charset val="204"/>
      </rPr>
      <t>²</t>
    </r>
    <r>
      <rPr>
        <i/>
        <sz val="11"/>
        <color indexed="8"/>
        <rFont val="Times New Roman"/>
        <family val="1"/>
        <charset val="204"/>
      </rPr>
      <t>)</t>
    </r>
    <r>
      <rPr>
        <i/>
        <sz val="12"/>
        <color indexed="8"/>
        <rFont val="Times New Roman"/>
        <family val="1"/>
        <charset val="204"/>
      </rPr>
      <t>/</t>
    </r>
    <r>
      <rPr>
        <i/>
        <sz val="11"/>
        <color indexed="8"/>
        <rFont val="Times New Roman"/>
        <family val="1"/>
        <charset val="204"/>
      </rPr>
      <t>4ˑL</t>
    </r>
    <r>
      <rPr>
        <i/>
        <sz val="8"/>
        <color indexed="8"/>
        <rFont val="Times New Roman"/>
        <family val="1"/>
        <charset val="204"/>
      </rPr>
      <t>окi-1</t>
    </r>
    <r>
      <rPr>
        <i/>
        <sz val="11"/>
        <color indexed="8"/>
        <rFont val="Times New Roman"/>
        <family val="1"/>
        <charset val="204"/>
      </rPr>
      <t>+(πkD</t>
    </r>
    <r>
      <rPr>
        <i/>
        <sz val="8"/>
        <color indexed="8"/>
        <rFont val="Times New Roman"/>
        <family val="1"/>
        <charset val="204"/>
      </rPr>
      <t>долi-1</t>
    </r>
    <r>
      <rPr>
        <i/>
        <sz val="12"/>
        <color indexed="8"/>
        <rFont val="Times New Roman"/>
        <family val="1"/>
        <charset val="204"/>
      </rPr>
      <t>²</t>
    </r>
    <r>
      <rPr>
        <i/>
        <sz val="11"/>
        <color indexed="8"/>
        <rFont val="Times New Roman"/>
        <family val="1"/>
        <charset val="204"/>
      </rPr>
      <t>)/4ˑL</t>
    </r>
    <r>
      <rPr>
        <i/>
        <sz val="8"/>
        <color indexed="8"/>
        <rFont val="Times New Roman"/>
        <family val="1"/>
        <charset val="204"/>
      </rPr>
      <t>срезкиi</t>
    </r>
    <r>
      <rPr>
        <i/>
        <sz val="11"/>
        <color indexed="8"/>
        <rFont val="Times New Roman"/>
        <family val="1"/>
        <charset val="204"/>
      </rPr>
      <t>+20 м3</t>
    </r>
  </si>
  <si>
    <t>Объем промывочной жидкости (буровой раствор, буфер), остающейся в заколонном пространстве после цементирования обсадной колонны</t>
  </si>
  <si>
    <r>
      <t>V</t>
    </r>
    <r>
      <rPr>
        <sz val="8"/>
        <color indexed="8"/>
        <rFont val="Times New Roman"/>
        <family val="1"/>
        <charset val="204"/>
      </rPr>
      <t>зак.жi</t>
    </r>
  </si>
  <si>
    <r>
      <t>V</t>
    </r>
    <r>
      <rPr>
        <sz val="8"/>
        <color indexed="8"/>
        <rFont val="Times New Roman"/>
        <family val="1"/>
        <charset val="204"/>
      </rPr>
      <t xml:space="preserve">зак.жi = </t>
    </r>
    <r>
      <rPr>
        <i/>
        <sz val="12"/>
        <color indexed="8"/>
        <rFont val="Times New Roman"/>
        <family val="1"/>
        <charset val="204"/>
      </rPr>
      <t>π(k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 xml:space="preserve">долi </t>
    </r>
    <r>
      <rPr>
        <sz val="11"/>
        <color indexed="8"/>
        <rFont val="Times New Roman"/>
        <family val="1"/>
        <charset val="204"/>
      </rPr>
      <t>- 1</t>
    </r>
    <r>
      <rPr>
        <i/>
        <sz val="12"/>
        <color indexed="8"/>
        <rFont val="Times New Roman"/>
        <family val="1"/>
        <charset val="204"/>
      </rPr>
      <t xml:space="preserve">² </t>
    </r>
    <r>
      <rPr>
        <i/>
        <sz val="11"/>
        <color indexed="8"/>
        <rFont val="Times New Roman"/>
        <family val="1"/>
        <charset val="204"/>
      </rPr>
      <t>-</t>
    </r>
    <r>
      <rPr>
        <i/>
        <sz val="12"/>
        <color indexed="8"/>
        <rFont val="Times New Roman"/>
        <family val="1"/>
        <charset val="204"/>
      </rPr>
      <t xml:space="preserve"> D</t>
    </r>
    <r>
      <rPr>
        <sz val="8"/>
        <color indexed="8"/>
        <rFont val="Times New Roman"/>
        <family val="1"/>
        <charset val="204"/>
      </rPr>
      <t>нарокi</t>
    </r>
    <r>
      <rPr>
        <i/>
        <sz val="12"/>
        <color indexed="8"/>
        <rFont val="Times New Roman"/>
        <family val="1"/>
        <charset val="204"/>
      </rPr>
      <t>²</t>
    </r>
    <r>
      <rPr>
        <i/>
        <sz val="11"/>
        <color indexed="8"/>
        <rFont val="Times New Roman"/>
        <family val="1"/>
        <charset val="204"/>
      </rPr>
      <t>) / 4 ˑ Н</t>
    </r>
    <r>
      <rPr>
        <sz val="8"/>
        <color indexed="8"/>
        <rFont val="Times New Roman"/>
        <family val="1"/>
        <charset val="204"/>
      </rPr>
      <t>под.ц.i</t>
    </r>
  </si>
  <si>
    <t>Объем бурового раствора, остающегося в ликвидированном стволе скважины</t>
  </si>
  <si>
    <r>
      <t>V</t>
    </r>
    <r>
      <rPr>
        <sz val="8"/>
        <color indexed="8"/>
        <rFont val="Times New Roman"/>
        <family val="1"/>
        <charset val="204"/>
      </rPr>
      <t>ликв.ствi</t>
    </r>
  </si>
  <si>
    <r>
      <t>V</t>
    </r>
    <r>
      <rPr>
        <sz val="8"/>
        <color indexed="8"/>
        <rFont val="Times New Roman"/>
        <family val="1"/>
        <charset val="204"/>
      </rPr>
      <t xml:space="preserve">ликв.ствi = </t>
    </r>
    <r>
      <rPr>
        <i/>
        <sz val="12"/>
        <color indexed="8"/>
        <rFont val="Times New Roman"/>
        <family val="1"/>
        <charset val="204"/>
      </rPr>
      <t>πk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долi</t>
    </r>
    <r>
      <rPr>
        <i/>
        <sz val="12"/>
        <color indexed="8"/>
        <rFont val="Times New Roman"/>
        <family val="1"/>
        <charset val="204"/>
      </rPr>
      <t xml:space="preserve">² / </t>
    </r>
    <r>
      <rPr>
        <i/>
        <sz val="11"/>
        <color indexed="8"/>
        <rFont val="Times New Roman"/>
        <family val="1"/>
        <charset val="204"/>
      </rPr>
      <t>4ˑ (L</t>
    </r>
    <r>
      <rPr>
        <i/>
        <sz val="8"/>
        <color indexed="8"/>
        <rFont val="Times New Roman"/>
        <family val="1"/>
        <charset val="204"/>
      </rPr>
      <t>i</t>
    </r>
    <r>
      <rPr>
        <i/>
        <sz val="11"/>
        <color indexed="8"/>
        <rFont val="Times New Roman"/>
        <family val="1"/>
        <charset val="204"/>
      </rPr>
      <t xml:space="preserve"> - L</t>
    </r>
    <r>
      <rPr>
        <sz val="8"/>
        <color indexed="8"/>
        <rFont val="Times New Roman"/>
        <family val="1"/>
        <charset val="204"/>
      </rPr>
      <t>срезкаi</t>
    </r>
    <r>
      <rPr>
        <i/>
        <sz val="11"/>
        <color indexed="8"/>
        <rFont val="Times New Roman"/>
        <family val="1"/>
        <charset val="204"/>
      </rPr>
      <t>)</t>
    </r>
  </si>
  <si>
    <t>Доступный объем бурового раствора на конец интервала</t>
  </si>
  <si>
    <r>
      <t>V</t>
    </r>
    <r>
      <rPr>
        <sz val="8"/>
        <color indexed="8"/>
        <rFont val="Times New Roman"/>
        <family val="1"/>
        <charset val="204"/>
      </rPr>
      <t>доступi</t>
    </r>
  </si>
  <si>
    <r>
      <t>V</t>
    </r>
    <r>
      <rPr>
        <sz val="8"/>
        <color indexed="8"/>
        <rFont val="Times New Roman"/>
        <family val="1"/>
        <charset val="204"/>
      </rPr>
      <t xml:space="preserve">доступi =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брi </t>
    </r>
    <r>
      <rPr>
        <sz val="11"/>
        <color indexed="8"/>
        <rFont val="Times New Roman"/>
        <family val="1"/>
        <charset val="204"/>
      </rPr>
      <t xml:space="preserve">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пi</t>
    </r>
    <r>
      <rPr>
        <sz val="11"/>
        <color indexed="8"/>
        <rFont val="Times New Roman"/>
        <family val="1"/>
        <charset val="204"/>
      </rPr>
      <t xml:space="preserve">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ликв.ств.i </t>
    </r>
    <r>
      <rPr>
        <sz val="11"/>
        <color indexed="8"/>
        <rFont val="Times New Roman"/>
        <family val="1"/>
        <charset val="204"/>
      </rPr>
      <t xml:space="preserve">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зак.брi</t>
    </r>
  </si>
  <si>
    <t>Объем бурового раствора, остающегося в заколонном пространстве после цементирования обсадной колонны</t>
  </si>
  <si>
    <r>
      <t>V</t>
    </r>
    <r>
      <rPr>
        <sz val="8"/>
        <color indexed="8"/>
        <rFont val="Times New Roman"/>
        <family val="1"/>
        <charset val="204"/>
      </rPr>
      <t>зак.брi</t>
    </r>
  </si>
  <si>
    <r>
      <t>V</t>
    </r>
    <r>
      <rPr>
        <sz val="8"/>
        <color indexed="8"/>
        <rFont val="Times New Roman"/>
        <family val="1"/>
        <charset val="204"/>
      </rPr>
      <t xml:space="preserve">зак.брi = </t>
    </r>
    <r>
      <rPr>
        <i/>
        <sz val="12"/>
        <color indexed="8"/>
        <rFont val="Times New Roman"/>
        <family val="1"/>
        <charset val="204"/>
      </rPr>
      <t>π(k</t>
    </r>
    <r>
      <rPr>
        <i/>
        <sz val="11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долi</t>
    </r>
    <r>
      <rPr>
        <sz val="11"/>
        <color indexed="8"/>
        <rFont val="Times New Roman"/>
        <family val="1"/>
        <charset val="204"/>
      </rPr>
      <t>-1</t>
    </r>
    <r>
      <rPr>
        <i/>
        <sz val="12"/>
        <color indexed="8"/>
        <rFont val="Times New Roman"/>
        <family val="1"/>
        <charset val="204"/>
      </rPr>
      <t>²</t>
    </r>
    <r>
      <rPr>
        <i/>
        <sz val="11"/>
        <color indexed="8"/>
        <rFont val="Times New Roman"/>
        <family val="1"/>
        <charset val="204"/>
      </rPr>
      <t>-</t>
    </r>
    <r>
      <rPr>
        <i/>
        <sz val="12"/>
        <color indexed="8"/>
        <rFont val="Times New Roman"/>
        <family val="1"/>
        <charset val="204"/>
      </rPr>
      <t>D</t>
    </r>
    <r>
      <rPr>
        <sz val="8"/>
        <color indexed="8"/>
        <rFont val="Times New Roman"/>
        <family val="1"/>
        <charset val="204"/>
      </rPr>
      <t>нарокi</t>
    </r>
    <r>
      <rPr>
        <i/>
        <sz val="12"/>
        <color indexed="8"/>
        <rFont val="Times New Roman"/>
        <family val="1"/>
        <charset val="204"/>
      </rPr>
      <t>²</t>
    </r>
    <r>
      <rPr>
        <i/>
        <sz val="11"/>
        <color indexed="8"/>
        <rFont val="Times New Roman"/>
        <family val="1"/>
        <charset val="204"/>
      </rPr>
      <t>)</t>
    </r>
    <r>
      <rPr>
        <i/>
        <sz val="12"/>
        <color indexed="8"/>
        <rFont val="Times New Roman"/>
        <family val="1"/>
        <charset val="204"/>
      </rPr>
      <t>/</t>
    </r>
    <r>
      <rPr>
        <i/>
        <sz val="11"/>
        <color indexed="8"/>
        <rFont val="Times New Roman"/>
        <family val="1"/>
        <charset val="204"/>
      </rPr>
      <t>4ˑ(Н</t>
    </r>
    <r>
      <rPr>
        <sz val="8"/>
        <color indexed="8"/>
        <rFont val="Times New Roman"/>
        <family val="1"/>
        <charset val="204"/>
      </rPr>
      <t xml:space="preserve">под.ц.i - </t>
    </r>
    <r>
      <rPr>
        <i/>
        <sz val="11"/>
        <color indexed="8"/>
        <rFont val="Times New Roman"/>
        <family val="1"/>
        <charset val="204"/>
      </rPr>
      <t>H</t>
    </r>
    <r>
      <rPr>
        <sz val="8"/>
        <color indexed="8"/>
        <rFont val="Times New Roman"/>
        <family val="1"/>
        <charset val="204"/>
      </rPr>
      <t>бж.)</t>
    </r>
  </si>
  <si>
    <t>Объем отработанного бурового раствора</t>
  </si>
  <si>
    <r>
      <t>V</t>
    </r>
    <r>
      <rPr>
        <sz val="8"/>
        <color indexed="8"/>
        <rFont val="Times New Roman"/>
        <family val="1"/>
        <charset val="204"/>
      </rPr>
      <t>обрi</t>
    </r>
  </si>
  <si>
    <r>
      <t>V</t>
    </r>
    <r>
      <rPr>
        <sz val="8"/>
        <color indexed="8"/>
        <rFont val="Times New Roman"/>
        <family val="1"/>
        <charset val="204"/>
      </rPr>
      <t xml:space="preserve">обрi =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брi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бжi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уцмi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рцмi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пi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зак.жi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ликв.стаi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пер.i </t>
    </r>
  </si>
  <si>
    <t>Объем отработанного бурового раствора к утилизации</t>
  </si>
  <si>
    <r>
      <t>V</t>
    </r>
    <r>
      <rPr>
        <sz val="8"/>
        <color indexed="8"/>
        <rFont val="Times New Roman"/>
        <family val="1"/>
        <charset val="204"/>
      </rPr>
      <t>обр.утилi</t>
    </r>
  </si>
  <si>
    <r>
      <t>V</t>
    </r>
    <r>
      <rPr>
        <sz val="8"/>
        <color indexed="8"/>
        <rFont val="Times New Roman"/>
        <family val="1"/>
        <charset val="204"/>
      </rPr>
      <t xml:space="preserve">обр.утилi = </t>
    </r>
    <r>
      <rPr>
        <sz val="11"/>
        <color indexed="8"/>
        <rFont val="Times New Roman"/>
        <family val="1"/>
        <charset val="204"/>
      </rPr>
      <t>(1</t>
    </r>
    <r>
      <rPr>
        <sz val="8"/>
        <color indexed="8"/>
        <rFont val="Times New Roman"/>
        <family val="1"/>
        <charset val="204"/>
      </rPr>
      <t xml:space="preserve"> - </t>
    </r>
    <r>
      <rPr>
        <i/>
        <sz val="11"/>
        <color indexed="8"/>
        <rFont val="Times New Roman"/>
        <family val="1"/>
        <charset val="204"/>
      </rPr>
      <t>K</t>
    </r>
    <r>
      <rPr>
        <sz val="8"/>
        <color indexed="8"/>
        <rFont val="Times New Roman"/>
        <family val="1"/>
        <charset val="204"/>
      </rPr>
      <t>повт</t>
    </r>
    <r>
      <rPr>
        <sz val="11"/>
        <color indexed="8"/>
        <rFont val="Times New Roman"/>
        <family val="1"/>
        <charset val="204"/>
      </rPr>
      <t xml:space="preserve">) </t>
    </r>
    <r>
      <rPr>
        <sz val="11"/>
        <color indexed="8"/>
        <rFont val="Times New Roman"/>
        <family val="1"/>
        <charset val="204"/>
      </rPr>
      <t>ˑ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обрi</t>
    </r>
  </si>
  <si>
    <t>БСВ</t>
  </si>
  <si>
    <t>Объём технической воды на технологические нужды</t>
  </si>
  <si>
    <r>
      <t>V</t>
    </r>
    <r>
      <rPr>
        <sz val="8"/>
        <color indexed="8"/>
        <rFont val="Times New Roman"/>
        <family val="1"/>
        <charset val="204"/>
      </rPr>
      <t>техi</t>
    </r>
  </si>
  <si>
    <r>
      <t>V</t>
    </r>
    <r>
      <rPr>
        <sz val="8"/>
        <color indexed="8"/>
        <rFont val="Times New Roman"/>
        <family val="1"/>
        <charset val="204"/>
      </rPr>
      <t>тех</t>
    </r>
    <r>
      <rPr>
        <sz val="8"/>
        <color indexed="8"/>
        <rFont val="Times New Roman"/>
        <family val="1"/>
        <charset val="204"/>
      </rPr>
      <t>i =</t>
    </r>
    <r>
      <rPr>
        <i/>
        <sz val="11"/>
        <color indexed="8"/>
        <rFont val="Times New Roman"/>
        <family val="1"/>
        <charset val="204"/>
      </rPr>
      <t xml:space="preserve"> V</t>
    </r>
    <r>
      <rPr>
        <sz val="8"/>
        <color indexed="8"/>
        <rFont val="Times New Roman"/>
        <family val="1"/>
        <charset val="204"/>
      </rPr>
      <t>ЦАi</t>
    </r>
    <r>
      <rPr>
        <i/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 xml:space="preserve">+ </t>
    </r>
    <r>
      <rPr>
        <sz val="12"/>
        <color indexed="8"/>
        <rFont val="Times New Roman"/>
        <family val="1"/>
        <charset val="204"/>
      </rPr>
      <t>Σ</t>
    </r>
    <r>
      <rPr>
        <sz val="11"/>
        <color indexed="8"/>
        <rFont val="Times New Roman"/>
        <family val="1"/>
        <charset val="204"/>
      </rPr>
      <t xml:space="preserve"> ˑ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емкi</t>
    </r>
  </si>
  <si>
    <t>Объём технической воды для помывки емкостного парка</t>
  </si>
  <si>
    <r>
      <t>V</t>
    </r>
    <r>
      <rPr>
        <sz val="8"/>
        <color indexed="8"/>
        <rFont val="Times New Roman"/>
        <family val="1"/>
        <charset val="204"/>
      </rPr>
      <t>емкi</t>
    </r>
  </si>
  <si>
    <r>
      <t>V</t>
    </r>
    <r>
      <rPr>
        <sz val="8"/>
        <color indexed="8"/>
        <rFont val="Times New Roman"/>
        <family val="1"/>
        <charset val="204"/>
      </rPr>
      <t xml:space="preserve">емкi = </t>
    </r>
    <r>
      <rPr>
        <sz val="11"/>
        <color indexed="8"/>
        <rFont val="Times New Roman"/>
        <family val="1"/>
        <charset val="204"/>
      </rPr>
      <t>0,1</t>
    </r>
    <r>
      <rPr>
        <sz val="8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ˑ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бр.i</t>
    </r>
  </si>
  <si>
    <t>Объём воды, загрязненной цементным раствором при промывке линий цементировочного агрегата</t>
  </si>
  <si>
    <r>
      <t>V</t>
    </r>
    <r>
      <rPr>
        <sz val="8"/>
        <color indexed="8"/>
        <rFont val="Times New Roman"/>
        <family val="1"/>
        <charset val="204"/>
      </rPr>
      <t>ца</t>
    </r>
  </si>
  <si>
    <r>
      <t>V</t>
    </r>
    <r>
      <rPr>
        <sz val="8"/>
        <color indexed="8"/>
        <rFont val="Times New Roman"/>
        <family val="1"/>
        <charset val="204"/>
      </rPr>
      <t xml:space="preserve">ца = </t>
    </r>
    <r>
      <rPr>
        <sz val="11"/>
        <color indexed="8"/>
        <rFont val="Times New Roman"/>
        <family val="1"/>
        <charset val="204"/>
      </rPr>
      <t xml:space="preserve">10 </t>
    </r>
    <r>
      <rPr>
        <sz val="11"/>
        <color indexed="8"/>
        <rFont val="Times New Roman"/>
        <family val="1"/>
        <charset val="204"/>
      </rPr>
      <t>ˑ</t>
    </r>
    <r>
      <rPr>
        <sz val="8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Цс</t>
    </r>
  </si>
  <si>
    <t>Объём конденсата, утилизируемого при использовании котельной</t>
  </si>
  <si>
    <r>
      <t>V</t>
    </r>
    <r>
      <rPr>
        <sz val="8"/>
        <color indexed="8"/>
        <rFont val="Times New Roman"/>
        <family val="1"/>
        <charset val="204"/>
      </rPr>
      <t>конд.кот</t>
    </r>
  </si>
  <si>
    <r>
      <t>V</t>
    </r>
    <r>
      <rPr>
        <sz val="8"/>
        <color indexed="8"/>
        <rFont val="Times New Roman"/>
        <family val="1"/>
        <charset val="204"/>
      </rPr>
      <t xml:space="preserve">конд.кот. = </t>
    </r>
    <r>
      <rPr>
        <i/>
        <sz val="11"/>
        <color indexed="8"/>
        <rFont val="Times New Roman"/>
        <family val="1"/>
        <charset val="204"/>
      </rPr>
      <t>T</t>
    </r>
    <r>
      <rPr>
        <sz val="8"/>
        <color indexed="8"/>
        <rFont val="Times New Roman"/>
        <family val="1"/>
        <charset val="204"/>
      </rPr>
      <t>отпл</t>
    </r>
    <r>
      <rPr>
        <sz val="11"/>
        <color indexed="8"/>
        <rFont val="Times New Roman"/>
        <family val="1"/>
        <charset val="204"/>
      </rPr>
      <t xml:space="preserve"> /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T</t>
    </r>
    <r>
      <rPr>
        <sz val="11"/>
        <color indexed="8"/>
        <rFont val="Times New Roman"/>
        <family val="1"/>
        <charset val="204"/>
      </rPr>
      <t xml:space="preserve"> ˑ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удельн. ˑ </t>
    </r>
    <r>
      <rPr>
        <i/>
        <sz val="11"/>
        <color indexed="8"/>
        <rFont val="Times New Roman"/>
        <family val="1"/>
        <charset val="204"/>
      </rPr>
      <t>T</t>
    </r>
    <r>
      <rPr>
        <sz val="8"/>
        <color indexed="8"/>
        <rFont val="Times New Roman"/>
        <family val="1"/>
        <charset val="204"/>
      </rPr>
      <t>стр.i</t>
    </r>
  </si>
  <si>
    <t>Удельный объём конденсата, производимый котельной за сутки работы</t>
  </si>
  <si>
    <r>
      <t>V</t>
    </r>
    <r>
      <rPr>
        <sz val="8"/>
        <color indexed="8"/>
        <rFont val="Times New Roman"/>
        <family val="1"/>
        <charset val="204"/>
      </rPr>
      <t>удельн</t>
    </r>
  </si>
  <si>
    <r>
      <t>V</t>
    </r>
    <r>
      <rPr>
        <sz val="8"/>
        <color indexed="8"/>
        <rFont val="Times New Roman"/>
        <family val="1"/>
        <charset val="204"/>
      </rPr>
      <t xml:space="preserve">удельн. = </t>
    </r>
    <r>
      <rPr>
        <i/>
        <sz val="11"/>
        <color indexed="8"/>
        <rFont val="Times New Roman"/>
        <family val="1"/>
        <charset val="204"/>
      </rPr>
      <t>Q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ˑ</t>
    </r>
    <r>
      <rPr>
        <sz val="8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1000 / </t>
    </r>
    <r>
      <rPr>
        <i/>
        <sz val="14"/>
        <color indexed="8"/>
        <rFont val="Times New Roman"/>
        <family val="1"/>
        <charset val="204"/>
      </rPr>
      <t>ρ</t>
    </r>
    <r>
      <rPr>
        <sz val="8"/>
        <color indexed="8"/>
        <rFont val="Times New Roman"/>
        <family val="1"/>
        <charset val="204"/>
      </rPr>
      <t>воды</t>
    </r>
  </si>
  <si>
    <t>Объем конденсата котельной к утилизации</t>
  </si>
  <si>
    <r>
      <t>V</t>
    </r>
    <r>
      <rPr>
        <sz val="8"/>
        <color indexed="8"/>
        <rFont val="Times New Roman"/>
        <family val="1"/>
        <charset val="204"/>
      </rPr>
      <t>конд.кот.утилi</t>
    </r>
  </si>
  <si>
    <r>
      <t>V</t>
    </r>
    <r>
      <rPr>
        <sz val="8"/>
        <color indexed="8"/>
        <rFont val="Times New Roman"/>
        <family val="1"/>
        <charset val="204"/>
      </rPr>
      <t xml:space="preserve">конд.кот.утилi = </t>
    </r>
    <r>
      <rPr>
        <sz val="11"/>
        <color indexed="8"/>
        <rFont val="Times New Roman"/>
        <family val="1"/>
        <charset val="204"/>
      </rPr>
      <t xml:space="preserve">(1 - </t>
    </r>
    <r>
      <rPr>
        <i/>
        <sz val="11"/>
        <color indexed="8"/>
        <rFont val="Times New Roman"/>
        <family val="1"/>
        <charset val="204"/>
      </rPr>
      <t>K</t>
    </r>
    <r>
      <rPr>
        <sz val="8"/>
        <color indexed="8"/>
        <rFont val="Times New Roman"/>
        <family val="1"/>
        <charset val="204"/>
      </rPr>
      <t>повт.котел.</t>
    </r>
    <r>
      <rPr>
        <i/>
        <sz val="11"/>
        <color indexed="8"/>
        <rFont val="Times New Roman"/>
        <family val="1"/>
        <charset val="204"/>
      </rPr>
      <t>)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ˑ</t>
    </r>
    <r>
      <rPr>
        <sz val="8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конд.кот.</t>
    </r>
  </si>
  <si>
    <t>Объем атмосферных осадков попадающих во временный накопитель за весь период бурения</t>
  </si>
  <si>
    <r>
      <t>V</t>
    </r>
    <r>
      <rPr>
        <sz val="8"/>
        <color indexed="8"/>
        <rFont val="Times New Roman"/>
        <family val="1"/>
        <charset val="204"/>
      </rPr>
      <t>а</t>
    </r>
  </si>
  <si>
    <r>
      <t>V</t>
    </r>
    <r>
      <rPr>
        <sz val="8"/>
        <color indexed="8"/>
        <rFont val="Times New Roman"/>
        <family val="1"/>
        <charset val="204"/>
      </rPr>
      <t xml:space="preserve">а =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дожд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исп</t>
    </r>
  </si>
  <si>
    <t>Объем дождевых сточных вод, попадающих во временный накопитель за весь период бурения</t>
  </si>
  <si>
    <r>
      <t>V</t>
    </r>
    <r>
      <rPr>
        <sz val="8"/>
        <color indexed="8"/>
        <rFont val="Times New Roman"/>
        <family val="1"/>
        <charset val="204"/>
      </rPr>
      <t>дожд</t>
    </r>
  </si>
  <si>
    <r>
      <t>V</t>
    </r>
    <r>
      <rPr>
        <sz val="8"/>
        <color indexed="8"/>
        <rFont val="Times New Roman"/>
        <family val="1"/>
        <charset val="204"/>
      </rPr>
      <t xml:space="preserve">дожд = </t>
    </r>
    <r>
      <rPr>
        <i/>
        <sz val="11"/>
        <color indexed="8"/>
        <rFont val="Times New Roman"/>
        <family val="1"/>
        <charset val="204"/>
      </rPr>
      <t>S</t>
    </r>
    <r>
      <rPr>
        <i/>
        <sz val="8"/>
        <color indexed="8"/>
        <rFont val="Times New Roman"/>
        <family val="1"/>
        <charset val="204"/>
      </rPr>
      <t xml:space="preserve">h </t>
    </r>
    <r>
      <rPr>
        <sz val="8"/>
        <color indexed="8"/>
        <rFont val="Times New Roman"/>
        <family val="1"/>
        <charset val="204"/>
      </rPr>
      <t xml:space="preserve">ˑ </t>
    </r>
    <r>
      <rPr>
        <i/>
        <sz val="11"/>
        <color indexed="8"/>
        <rFont val="Times New Roman"/>
        <family val="1"/>
        <charset val="204"/>
      </rPr>
      <t>h</t>
    </r>
    <r>
      <rPr>
        <sz val="8"/>
        <color indexed="8"/>
        <rFont val="Times New Roman"/>
        <family val="1"/>
        <charset val="204"/>
      </rPr>
      <t xml:space="preserve">o ˑ </t>
    </r>
    <r>
      <rPr>
        <i/>
        <sz val="12"/>
        <color indexed="8"/>
        <rFont val="Times New Roman"/>
        <family val="1"/>
        <charset val="204"/>
      </rPr>
      <t>T</t>
    </r>
    <r>
      <rPr>
        <sz val="8"/>
        <color indexed="8"/>
        <rFont val="Times New Roman"/>
        <family val="1"/>
        <charset val="204"/>
      </rPr>
      <t xml:space="preserve">стрит. </t>
    </r>
    <r>
      <rPr>
        <sz val="11"/>
        <color indexed="8"/>
        <rFont val="Times New Roman"/>
        <family val="1"/>
        <charset val="204"/>
      </rPr>
      <t>/ 30</t>
    </r>
  </si>
  <si>
    <t>Объем испарения сточных вод с поверхности накопителя</t>
  </si>
  <si>
    <r>
      <t>V</t>
    </r>
    <r>
      <rPr>
        <sz val="8"/>
        <color indexed="8"/>
        <rFont val="Times New Roman"/>
        <family val="1"/>
        <charset val="204"/>
      </rPr>
      <t>исп</t>
    </r>
  </si>
  <si>
    <r>
      <t>V</t>
    </r>
    <r>
      <rPr>
        <sz val="8"/>
        <color indexed="8"/>
        <rFont val="Times New Roman"/>
        <family val="1"/>
        <charset val="204"/>
      </rPr>
      <t xml:space="preserve">дожд = </t>
    </r>
    <r>
      <rPr>
        <i/>
        <sz val="11"/>
        <color indexed="8"/>
        <rFont val="Times New Roman"/>
        <family val="1"/>
        <charset val="204"/>
      </rPr>
      <t>S</t>
    </r>
    <r>
      <rPr>
        <i/>
        <sz val="8"/>
        <color indexed="8"/>
        <rFont val="Times New Roman"/>
        <family val="1"/>
        <charset val="204"/>
      </rPr>
      <t xml:space="preserve">h </t>
    </r>
    <r>
      <rPr>
        <sz val="8"/>
        <color indexed="8"/>
        <rFont val="Times New Roman"/>
        <family val="1"/>
        <charset val="204"/>
      </rPr>
      <t xml:space="preserve">ˑ </t>
    </r>
    <r>
      <rPr>
        <i/>
        <sz val="11"/>
        <color indexed="8"/>
        <rFont val="Times New Roman"/>
        <family val="1"/>
        <charset val="204"/>
      </rPr>
      <t>h</t>
    </r>
    <r>
      <rPr>
        <sz val="8"/>
        <color indexed="8"/>
        <rFont val="Times New Roman"/>
        <family val="1"/>
        <charset val="204"/>
      </rPr>
      <t xml:space="preserve">и ˑ </t>
    </r>
    <r>
      <rPr>
        <i/>
        <sz val="12"/>
        <color indexed="8"/>
        <rFont val="Times New Roman"/>
        <family val="1"/>
        <charset val="204"/>
      </rPr>
      <t>T</t>
    </r>
    <r>
      <rPr>
        <sz val="8"/>
        <color indexed="8"/>
        <rFont val="Times New Roman"/>
        <family val="1"/>
        <charset val="204"/>
      </rPr>
      <t xml:space="preserve">стрит. </t>
    </r>
    <r>
      <rPr>
        <sz val="11"/>
        <color indexed="8"/>
        <rFont val="Times New Roman"/>
        <family val="1"/>
        <charset val="204"/>
      </rPr>
      <t>/ 30</t>
    </r>
  </si>
  <si>
    <t>Объем буровых сточных вод</t>
  </si>
  <si>
    <r>
      <t>V</t>
    </r>
    <r>
      <rPr>
        <sz val="8"/>
        <color indexed="8"/>
        <rFont val="Times New Roman"/>
        <family val="1"/>
        <charset val="204"/>
      </rPr>
      <t>бсвi</t>
    </r>
  </si>
  <si>
    <r>
      <t>V</t>
    </r>
    <r>
      <rPr>
        <sz val="8"/>
        <color indexed="8"/>
        <rFont val="Times New Roman"/>
        <family val="1"/>
        <charset val="204"/>
      </rPr>
      <t xml:space="preserve">бсвi =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техi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конд.кот.утил.i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а</t>
    </r>
  </si>
  <si>
    <t>Объем отходов бурения</t>
  </si>
  <si>
    <r>
      <t>V</t>
    </r>
    <r>
      <rPr>
        <sz val="8"/>
        <color indexed="8"/>
        <rFont val="Times New Roman"/>
        <family val="1"/>
        <charset val="204"/>
      </rPr>
      <t>отходов</t>
    </r>
  </si>
  <si>
    <r>
      <t>V</t>
    </r>
    <r>
      <rPr>
        <sz val="8"/>
        <color indexed="8"/>
        <rFont val="Times New Roman"/>
        <family val="1"/>
        <charset val="204"/>
      </rPr>
      <t>отходов</t>
    </r>
    <r>
      <rPr>
        <sz val="8"/>
        <color indexed="8"/>
        <rFont val="Times New Roman"/>
        <family val="1"/>
        <charset val="204"/>
      </rPr>
      <t xml:space="preserve"> =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 xml:space="preserve">Σ </t>
    </r>
    <r>
      <rPr>
        <i/>
        <sz val="11"/>
        <color indexed="8"/>
        <rFont val="Times New Roman"/>
        <family val="1"/>
        <charset val="204"/>
      </rPr>
      <t>(V</t>
    </r>
    <r>
      <rPr>
        <sz val="8"/>
        <color indexed="8"/>
        <rFont val="Times New Roman"/>
        <family val="1"/>
        <charset val="204"/>
      </rPr>
      <t xml:space="preserve">бшi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обрi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бсвi)</t>
    </r>
  </si>
  <si>
    <t>Разделение на жидую и твердую фазы</t>
  </si>
  <si>
    <t>ЖФ</t>
  </si>
  <si>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жфi</t>
    </r>
    <r>
      <rPr>
        <sz val="11"/>
        <color indexed="8"/>
        <rFont val="Times New Roman"/>
        <family val="1"/>
        <charset val="204"/>
      </rPr>
      <t xml:space="preserve"> =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бсвi</t>
    </r>
    <r>
      <rPr>
        <sz val="11"/>
        <color indexed="8"/>
        <rFont val="Times New Roman"/>
        <family val="1"/>
        <charset val="204"/>
      </rPr>
      <t xml:space="preserve"> + (100 - ТФ</t>
    </r>
    <r>
      <rPr>
        <sz val="8"/>
        <color indexed="8"/>
        <rFont val="Times New Roman"/>
        <family val="1"/>
        <charset val="204"/>
      </rPr>
      <t>расчi</t>
    </r>
    <r>
      <rPr>
        <sz val="11"/>
        <color indexed="8"/>
        <rFont val="Times New Roman"/>
        <family val="1"/>
        <charset val="204"/>
      </rPr>
      <t>) ˑ (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брi</t>
    </r>
    <r>
      <rPr>
        <sz val="11"/>
        <color indexed="8"/>
        <rFont val="Times New Roman"/>
        <family val="1"/>
        <charset val="204"/>
      </rPr>
      <t xml:space="preserve">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рцм </t>
    </r>
    <r>
      <rPr>
        <sz val="11"/>
        <color indexed="8"/>
        <rFont val="Times New Roman"/>
        <family val="1"/>
        <charset val="204"/>
      </rPr>
      <t xml:space="preserve">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перi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пфi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ликв.ств.i</t>
    </r>
    <r>
      <rPr>
        <sz val="11"/>
        <color indexed="8"/>
        <rFont val="Times New Roman"/>
        <family val="1"/>
        <charset val="204"/>
      </rPr>
      <t xml:space="preserve">)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бжi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уцм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зак.ж.i</t>
    </r>
  </si>
  <si>
    <t>ТФ</t>
  </si>
  <si>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ТФi</t>
    </r>
    <r>
      <rPr>
        <sz val="11"/>
        <color indexed="8"/>
        <rFont val="Times New Roman"/>
        <family val="1"/>
        <charset val="204"/>
      </rPr>
      <t xml:space="preserve"> =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впi</t>
    </r>
    <r>
      <rPr>
        <sz val="11"/>
        <color indexed="8"/>
        <rFont val="Times New Roman"/>
        <family val="1"/>
        <charset val="204"/>
      </rPr>
      <t xml:space="preserve"> + ТФ</t>
    </r>
    <r>
      <rPr>
        <sz val="8"/>
        <color indexed="8"/>
        <rFont val="Times New Roman"/>
        <family val="1"/>
        <charset val="204"/>
      </rPr>
      <t>расчi</t>
    </r>
    <r>
      <rPr>
        <sz val="11"/>
        <color indexed="8"/>
        <rFont val="Times New Roman"/>
        <family val="1"/>
        <charset val="204"/>
      </rPr>
      <t xml:space="preserve"> ˑ (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брi</t>
    </r>
    <r>
      <rPr>
        <sz val="11"/>
        <color indexed="8"/>
        <rFont val="Times New Roman"/>
        <family val="1"/>
        <charset val="204"/>
      </rPr>
      <t xml:space="preserve"> +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рцмi </t>
    </r>
    <r>
      <rPr>
        <sz val="11"/>
        <color indexed="8"/>
        <rFont val="Times New Roman"/>
        <family val="1"/>
        <charset val="204"/>
      </rPr>
      <t xml:space="preserve">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зак.бр.i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перi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 xml:space="preserve">фi - </t>
    </r>
    <r>
      <rPr>
        <i/>
        <sz val="11"/>
        <color indexed="8"/>
        <rFont val="Times New Roman"/>
        <family val="1"/>
        <charset val="204"/>
      </rPr>
      <t>V</t>
    </r>
    <r>
      <rPr>
        <sz val="8"/>
        <color indexed="8"/>
        <rFont val="Times New Roman"/>
        <family val="1"/>
        <charset val="204"/>
      </rPr>
      <t>ликв.ств.i</t>
    </r>
    <r>
      <rPr>
        <sz val="11"/>
        <color indexed="8"/>
        <rFont val="Times New Roman"/>
        <family val="1"/>
        <charset val="204"/>
      </rPr>
      <t>)</t>
    </r>
  </si>
  <si>
    <t>Коэффициент разрыхления,объёмный для тяжёлых пород (объёмный вес породы в плотном теле,т/м3 составляет 1,9-2,8т/м3)</t>
  </si>
  <si>
    <t>ячейка содержит формулу, автоматическое заполнение</t>
  </si>
  <si>
    <t>ручной ввод данных</t>
  </si>
  <si>
    <t>ИТОГО норматив отходов:</t>
  </si>
  <si>
    <t>в том числе</t>
  </si>
  <si>
    <t>Расчет подготовил : Начальник технологического отдела ООО "Отрадное"</t>
  </si>
  <si>
    <t>Ледяев А.В.</t>
  </si>
  <si>
    <t xml:space="preserve">Примечание : Плановый забой из расчета профиля скважины. </t>
  </si>
  <si>
    <t>Граифк глубина-день скважина №411, 412</t>
  </si>
  <si>
    <t xml:space="preserve">Индикатор </t>
  </si>
  <si>
    <t>Операция</t>
  </si>
  <si>
    <t>проходка</t>
  </si>
  <si>
    <t>Забой</t>
  </si>
  <si>
    <t xml:space="preserve">Плановое Время на операцию, час </t>
  </si>
  <si>
    <t>План.               Время,                    сут</t>
  </si>
  <si>
    <t>Плановая дата оконч. Операции</t>
  </si>
  <si>
    <t>План. Время с накопл., сут.</t>
  </si>
  <si>
    <t>РАСЧЕТ ННБ</t>
  </si>
  <si>
    <t>Служебная строка, не удалять и не изменять</t>
  </si>
  <si>
    <t>Работа</t>
  </si>
  <si>
    <t>Дежурство</t>
  </si>
  <si>
    <t>ПЗР</t>
  </si>
  <si>
    <t>Сборка КНБК</t>
  </si>
  <si>
    <t>Промывка</t>
  </si>
  <si>
    <t>Подъем КНБК</t>
  </si>
  <si>
    <t>Разборка КНБК</t>
  </si>
  <si>
    <t>ПЗР к спуску ОК</t>
  </si>
  <si>
    <t>Спуск ОК Ø 426 мм 0-50 метров</t>
  </si>
  <si>
    <t>Промывка перед цементированием</t>
  </si>
  <si>
    <t>ПЗР и цементаж ОК Ø 426 мм</t>
  </si>
  <si>
    <t>ОЗЦ, оборудование устья, сборка инструмента за палец</t>
  </si>
  <si>
    <t>моб.</t>
  </si>
  <si>
    <t>Спуск КНБК</t>
  </si>
  <si>
    <t>Бурение оснастки, промывка</t>
  </si>
  <si>
    <t>Шаблонировка на пробуренный интервал, промывка</t>
  </si>
  <si>
    <t>ВУС + ингибитор, промывка 1 цикл</t>
  </si>
  <si>
    <t>Проработка до "направления", спуск на забой</t>
  </si>
  <si>
    <t xml:space="preserve">ГИС </t>
  </si>
  <si>
    <t>Шаблонировка</t>
  </si>
  <si>
    <t>Промывка 2 цикла, ОГР</t>
  </si>
  <si>
    <t>ПЗР к спуску ок Ø 324 мм</t>
  </si>
  <si>
    <t>Спуск 324 мм кондуктора с промывкой до гл. 1005м</t>
  </si>
  <si>
    <t>ПЗР и цементаж 324 мм кондуктора, прочее</t>
  </si>
  <si>
    <t xml:space="preserve">ОЗЦ 324 мм кондуктора, ГИС термометр (ВПЦ), </t>
  </si>
  <si>
    <t>Сборка ПВО, прочее</t>
  </si>
  <si>
    <t>Опрессовка ПВО (глухие плашки)</t>
  </si>
  <si>
    <t>Опрессовка ОК, трубных плашек ПВО</t>
  </si>
  <si>
    <t>Разбурка цемента и башмака, опресовка ЦК</t>
  </si>
  <si>
    <t>Тех.колонна</t>
  </si>
  <si>
    <t>Промывка 1 цикл</t>
  </si>
  <si>
    <t>Шаблонировка на пробуренный интервал</t>
  </si>
  <si>
    <t>Промывка 1 цикл с расхаживанием</t>
  </si>
  <si>
    <t>Промывка 2 цикла</t>
  </si>
  <si>
    <t>ГИС</t>
  </si>
  <si>
    <t xml:space="preserve">Шаблонировка под спуск технической колоны </t>
  </si>
  <si>
    <t>ПЗР к спуску тех.колонны Ø 245 мм</t>
  </si>
  <si>
    <t xml:space="preserve">Спуск 245 мм с промывкой </t>
  </si>
  <si>
    <t>ПЗР и цементаж 245 мм ПК, прочее</t>
  </si>
  <si>
    <t>ОЗЦ 245 мм, ГИС термометр (ВПЦ), ГК, НГК, ННК в колонне</t>
  </si>
  <si>
    <t>Перемонтаж ПВО</t>
  </si>
  <si>
    <t>Эксп. колонна</t>
  </si>
  <si>
    <t>Промывка, ВУС (или комбинированная пачка)</t>
  </si>
  <si>
    <t xml:space="preserve">Сборка КНБК </t>
  </si>
  <si>
    <t xml:space="preserve">Спуск КНБК </t>
  </si>
  <si>
    <t>Шаблонировка, промывка на забое</t>
  </si>
  <si>
    <t xml:space="preserve">Подъем КНБК </t>
  </si>
  <si>
    <t>ГИС в открытом стволе</t>
  </si>
  <si>
    <t>ПР к цементированию ОК178</t>
  </si>
  <si>
    <t>Цементирование ОК178 1ступень</t>
  </si>
  <si>
    <t>ОЗЦ</t>
  </si>
  <si>
    <t>ПЗР к сборке КНБК</t>
  </si>
  <si>
    <t>ИТОГО БУРЕНИЕ И КРЕПЛЕНИЕ</t>
  </si>
  <si>
    <t>График глубина-день для установки цементного моста в скважинах до 4000 м.</t>
  </si>
  <si>
    <t>Индикатор</t>
  </si>
  <si>
    <t>эксп.колонна</t>
  </si>
  <si>
    <t>КНБК</t>
  </si>
  <si>
    <t xml:space="preserve">Сборка КНБК на УЦМ </t>
  </si>
  <si>
    <t>СПО</t>
  </si>
  <si>
    <t>Спуск КНБК 4400</t>
  </si>
  <si>
    <t>Цементирование</t>
  </si>
  <si>
    <t>Промывка-срезка</t>
  </si>
  <si>
    <t>ОЗЦ (подъем КНБК; Сборка КНБК на РЦМ)</t>
  </si>
  <si>
    <t>Опрессовка</t>
  </si>
  <si>
    <t>Опрессовка ЦМ</t>
  </si>
  <si>
    <t>РЦМ</t>
  </si>
  <si>
    <t>Разбуривание ЦМ</t>
  </si>
  <si>
    <t>НПВ</t>
  </si>
  <si>
    <t>Простои, ремонты, НПВ (5%)</t>
  </si>
  <si>
    <t>График глубина-день для установки цементного моста в скважинах до 5000 м.</t>
  </si>
  <si>
    <t>Коммерческая скорость бурения, не должна быть ниже 1616 м/ст*мес.</t>
  </si>
  <si>
    <t>Перевоз БУ 3Д-86 м/у скв.</t>
  </si>
  <si>
    <t xml:space="preserve">                                             Монтаж БУ 3Д-86</t>
  </si>
  <si>
    <t xml:space="preserve">                                                Демонтаж БУ 3Д-86</t>
  </si>
  <si>
    <t>1.11.</t>
  </si>
  <si>
    <t>Монтаж и центровка основания вышечного блока.</t>
  </si>
  <si>
    <t>Монтаж подъёмника ПВЛ, Монтаж кранблока на роторный стол</t>
  </si>
  <si>
    <t>Монтаж секции вышки №1 , №2</t>
  </si>
  <si>
    <t>Монтаж секции вышки №3 , №4. Монтаж балкона верхавого№1.</t>
  </si>
  <si>
    <t>Монтаж секции вышки №5 , №6. Монтаж балкона верхавого№2.</t>
  </si>
  <si>
    <t>Монтаж секции вышки №7 , №8</t>
  </si>
  <si>
    <t>Монтаж секции вышки №9, Демонтаж ПВЛ.</t>
  </si>
  <si>
    <t>Монтаж ветровых панелей вышечного блока.</t>
  </si>
  <si>
    <t>Установка блока воздухосборника,энергоблока, электростанции 300, Эл. монтажные работы.</t>
  </si>
  <si>
    <t>Монтаж воздушных линий, трубопроводов в насосном блоке.                     Монтаж  манифольда, кожухов бур насосов и паровых калориферов в насосном блоке</t>
  </si>
  <si>
    <t>Монтаж  привода ротора, ротора и площадок на основании мачты</t>
  </si>
  <si>
    <t>Монтаж  кабины бурильщика, вспомогательной лебедки и навесного оборудования на мачте</t>
  </si>
  <si>
    <t xml:space="preserve">Монтаж укрытия буровой лебёдки и основания </t>
  </si>
  <si>
    <t>Монтаж приемного моста, крана 8 КП-2, наклонного желоба, стеллажей под инструмент,  и лестниц захода на основания мачты</t>
  </si>
  <si>
    <t xml:space="preserve">чел. </t>
  </si>
  <si>
    <t xml:space="preserve">ед. </t>
  </si>
  <si>
    <t>Демонтаж стеллажей, крана «8 КП-2», приемного моста, наклонного желоба и лестниц захода на основания мачты</t>
  </si>
  <si>
    <t>Демонтаж панелей укрытия, мачты и основания лебёдочного блока</t>
  </si>
  <si>
    <t>Демонтаж  кабины бурильщика с основания вышечного блока</t>
  </si>
  <si>
    <t>Электро демонтажные работы по мачте,  демонтаж подсвечника, талевой системы,талевого блока</t>
  </si>
  <si>
    <t>Демонтаж вспомогательной лебедки, ротора и привода ротора</t>
  </si>
  <si>
    <t>Монтаж подъёмника ПВЛ, Демонтаж секции вышки №9.</t>
  </si>
  <si>
    <t>Демонтаж секции вышки №8 , №7.</t>
  </si>
  <si>
    <t>Демонтаж секции вышки №6 , №5., демонтаж балкона верхавого.</t>
  </si>
  <si>
    <t>Демонтаж секции вышки №4 , №3., демонтаж балкона верхавого.</t>
  </si>
  <si>
    <t>Демонтаж секции вышки №2 , №1.</t>
  </si>
  <si>
    <t>Демонтаж подъёмника ПВЛ, Демонтаж кранблока.</t>
  </si>
  <si>
    <t>Демонтаж основания вышечного блока.</t>
  </si>
  <si>
    <t>Демонтаж основания лебёдочного блока.</t>
  </si>
  <si>
    <t>Демонтаж плит фундамента, плит ПДН.</t>
  </si>
  <si>
    <t>Электро демонтажные работы по НБ,  демонтаж подсвечника, талевой системы,талевого блока</t>
  </si>
  <si>
    <t>Демонтаж электростанции 300, кВт  и энерго блока. Эл. демонтажные работы.</t>
  </si>
  <si>
    <t>Демонтаж бур. лебедки,ЭМТ.</t>
  </si>
  <si>
    <t>Система очистки</t>
  </si>
  <si>
    <t>Отбор керна</t>
  </si>
  <si>
    <t>Микросканер</t>
  </si>
  <si>
    <t>ГДК</t>
  </si>
  <si>
    <t>Другие доп.работы</t>
  </si>
  <si>
    <t xml:space="preserve"> Отбор керна </t>
  </si>
  <si>
    <t xml:space="preserve"> -  работы буровой бригады</t>
  </si>
  <si>
    <t xml:space="preserve"> - простоя буровой бригады</t>
  </si>
  <si>
    <r>
      <rPr>
        <b/>
        <u/>
        <sz val="10"/>
        <rFont val="Times New Roman"/>
        <family val="1"/>
        <charset val="204"/>
      </rPr>
      <t xml:space="preserve">Справочно: </t>
    </r>
    <r>
      <rPr>
        <b/>
        <sz val="10"/>
        <rFont val="Times New Roman"/>
        <family val="1"/>
        <charset val="204"/>
      </rPr>
      <t>стоимость 1 суток:</t>
    </r>
  </si>
  <si>
    <t>Расчет №13</t>
  </si>
  <si>
    <t>Завоз автономного источника  электроэнергии</t>
  </si>
  <si>
    <t>Вывоз автономного источника  электроэнергии</t>
  </si>
  <si>
    <t>4.3.</t>
  </si>
  <si>
    <t>4.4.</t>
  </si>
  <si>
    <t xml:space="preserve">Расход </t>
  </si>
  <si>
    <t>Подготовительные работы к ЗБС</t>
  </si>
  <si>
    <t xml:space="preserve"> - хвостовик</t>
  </si>
  <si>
    <t>Оборудование</t>
  </si>
  <si>
    <t>Вывоз и утилизация шлама</t>
  </si>
  <si>
    <t>Техническая рекультивация скв.№21</t>
  </si>
  <si>
    <t>Нормализация забоя, опрессовка снижением уровня</t>
  </si>
  <si>
    <t>Работы по креплению хвостовика</t>
  </si>
  <si>
    <t>9.2.</t>
  </si>
  <si>
    <t>9.3.</t>
  </si>
  <si>
    <t>Строительство артезианской скважины скв.№21, №45, №156</t>
  </si>
  <si>
    <t>Переезд на 60км</t>
  </si>
  <si>
    <t>Переезд на 100км</t>
  </si>
  <si>
    <t>бурение скв. №21</t>
  </si>
  <si>
    <t>бурение скв. №45</t>
  </si>
  <si>
    <t>бурение скв. №156</t>
  </si>
  <si>
    <t>Вывоз и утилизация ОБР, БСВ №21</t>
  </si>
  <si>
    <t>Вывоз и утилизация ОБР, БСВ №45</t>
  </si>
  <si>
    <t>Вывоз и утилизация ОБР, БСВ №156</t>
  </si>
  <si>
    <t>Техническая рекультивация скв.№45</t>
  </si>
  <si>
    <t>Техническая рекультивация скв.№156</t>
  </si>
  <si>
    <t>стоимости коммерческого предложения по предмету тендера:
строительство 3 (трех) эксплуатационных скважин, 2 (двух) горизонтальных скважин №45 Северо-Базарного, №156 Крепостного месторождений и 1 (одной) наклонно-направленной скважины №21 Орловского месторождения</t>
  </si>
  <si>
    <t xml:space="preserve"> - основной ствол</t>
  </si>
  <si>
    <t xml:space="preserve"> - горизонтальный участок</t>
  </si>
  <si>
    <t xml:space="preserve">Опрессовка снижением уровня </t>
  </si>
  <si>
    <t>Нормализация забоя</t>
  </si>
  <si>
    <t>Копка шламонакопителей</t>
  </si>
  <si>
    <t>Материалы (гидроизоляция) территории МБУ, НБ, ЕБ.</t>
  </si>
  <si>
    <t>Перевоз МБУ</t>
  </si>
  <si>
    <t xml:space="preserve">Накладные расходы % ФОТ </t>
  </si>
  <si>
    <t>Сметная прибыль % ФОТ</t>
  </si>
  <si>
    <t xml:space="preserve">Накладные % </t>
  </si>
  <si>
    <t>Плановые %</t>
  </si>
  <si>
    <t xml:space="preserve">Перевоз МБУ </t>
  </si>
  <si>
    <t>Работа ДЭС</t>
  </si>
  <si>
    <t xml:space="preserve">Затраты на переезд БУ и бригадного хозяйства для строительства  скважины </t>
  </si>
  <si>
    <t>ИТОГО техника:</t>
  </si>
  <si>
    <t>Накладные расходы % (с учетом ЕСН) от ФОТ</t>
  </si>
  <si>
    <t>Сметная прибыль % от ФОТ</t>
  </si>
  <si>
    <t>Накладные расходы % (с учетом ЕСН)  от ФОТ</t>
  </si>
  <si>
    <r>
      <t xml:space="preserve">Сметная прибыль </t>
    </r>
    <r>
      <rPr>
        <sz val="11"/>
        <rFont val="Times New Roman"/>
        <family val="1"/>
      </rPr>
      <t>%  от ФОТ</t>
    </r>
  </si>
  <si>
    <t xml:space="preserve">Накладные расходы   % (с уч. ЕСН) от ФОТ  </t>
  </si>
  <si>
    <t xml:space="preserve">Расчет </t>
  </si>
  <si>
    <t xml:space="preserve"> - направление</t>
  </si>
  <si>
    <t xml:space="preserve"> - тех. колонна</t>
  </si>
  <si>
    <t xml:space="preserve"> - кондуктор</t>
  </si>
  <si>
    <t xml:space="preserve"> - эксплуатационная колонна</t>
  </si>
  <si>
    <t xml:space="preserve"> Стоимость наклонно-направленной скважины №21 </t>
  </si>
  <si>
    <t xml:space="preserve"> Стоимость ГС №45</t>
  </si>
  <si>
    <t xml:space="preserve"> - пилотный ствол</t>
  </si>
  <si>
    <t>Расчет</t>
  </si>
  <si>
    <t xml:space="preserve"> Стоимость ГС №156</t>
  </si>
  <si>
    <t xml:space="preserve">Накладные расходы % (с уч.ЕСН) от ФОТ  </t>
  </si>
  <si>
    <r>
      <t xml:space="preserve">Сметная прибыль </t>
    </r>
    <r>
      <rPr>
        <sz val="11"/>
        <rFont val="Times New Roman"/>
        <family val="1"/>
        <charset val="204"/>
      </rPr>
      <t>%  от ФОТ</t>
    </r>
  </si>
  <si>
    <t>МБУ</t>
  </si>
  <si>
    <t>Затраты  на содержание бурового оборудования (за месяц)</t>
  </si>
  <si>
    <t>технической рекультивации скв. №45 Северо-Базарного месторождения</t>
  </si>
  <si>
    <t>технической рекультивации скв. №156 Крепостного месторождения</t>
  </si>
  <si>
    <t>Вывоз ОБР БСВ (субподряд) скв. №21 Орловского м-я</t>
  </si>
  <si>
    <t>Вывоз шлама (субподряд) скв. №45 Северо-Базарного м-я</t>
  </si>
  <si>
    <t>Вывоз шлама (субподряд) скв. №156 Крепостного м-я</t>
  </si>
  <si>
    <t>технической рекультивации скв. №21 Орловского месторождения</t>
  </si>
  <si>
    <t>Расчет инженерной подготовки скв. №21</t>
  </si>
  <si>
    <t>Расчет инженерной подготовки скв. №45</t>
  </si>
  <si>
    <t>Расчет инженерной подготовки скв. №156</t>
  </si>
  <si>
    <t>Един. Измерен.</t>
  </si>
  <si>
    <t>цена за единицу с коэффиц.</t>
  </si>
  <si>
    <t>эксплуатационная колонн</t>
  </si>
  <si>
    <t>хвостовик</t>
  </si>
  <si>
    <t>Объем</t>
  </si>
  <si>
    <t>концентрация</t>
  </si>
  <si>
    <t>колич-во</t>
  </si>
  <si>
    <t>стоимость, руб</t>
  </si>
  <si>
    <t>Необходимые материалы</t>
  </si>
  <si>
    <t>Интервал</t>
  </si>
  <si>
    <t>Направление</t>
  </si>
  <si>
    <t>Кондуктор</t>
  </si>
  <si>
    <t>Эксплуатационная</t>
  </si>
  <si>
    <t>Тип раствора</t>
  </si>
  <si>
    <t>Глинистый</t>
  </si>
  <si>
    <t>Известковый малоглинистый ингиб.  буровой раствор</t>
  </si>
  <si>
    <t>Известковый малоглинистый ингибированный  буровой раствор</t>
  </si>
  <si>
    <t xml:space="preserve">Интервал по инструменту (от/до), м-м </t>
  </si>
  <si>
    <t>50</t>
  </si>
  <si>
    <t>680</t>
  </si>
  <si>
    <t>2550</t>
  </si>
  <si>
    <t>Диаметр долота, мм</t>
  </si>
  <si>
    <t>Диаметр обсадной колонны, мм</t>
  </si>
  <si>
    <t>Переведено с предыдущего интервала, м3</t>
  </si>
  <si>
    <t>Объем скважины, м3</t>
  </si>
  <si>
    <t>Объем продавки, м3</t>
  </si>
  <si>
    <t xml:space="preserve">Потери со шламом, м³ </t>
  </si>
  <si>
    <t>Расчетный объем приготавливаемого раствора на бурение интервала, м3</t>
  </si>
  <si>
    <t xml:space="preserve">*Расчет химреагентов при составлении коммерческого предложения производить из учета потребности приготовления 1 (одного) объема скважины + заготовки вязкоупругих составов. </t>
  </si>
  <si>
    <t>**В расчете химреагентов предусмотреть концентрации принятых в существующих программах промывки.</t>
  </si>
  <si>
    <t>250</t>
  </si>
  <si>
    <t>1550</t>
  </si>
  <si>
    <t>Экс.колонна</t>
  </si>
  <si>
    <t>Доп.работы (Цем. 2 ступени)</t>
  </si>
  <si>
    <t>Доп.работы (нормализация забоя)</t>
  </si>
  <si>
    <t>Доп.работы (опрессовка снижением)</t>
  </si>
  <si>
    <t>Доп. работы (ГИС-АКЦ)</t>
  </si>
  <si>
    <t>ИТОГО ЦЕМЕНТИРОВАНИЕ экс.колонна</t>
  </si>
  <si>
    <t>ИТОГО  (нормализация забоя)</t>
  </si>
  <si>
    <t>ИТОГО  ОПРЕССОВКА СНИЖЕНИЕМ УРОВНЯ</t>
  </si>
  <si>
    <t>Коммерческая скорость бурения, м/ст*мес.</t>
  </si>
  <si>
    <t>Стоимость скважины</t>
  </si>
  <si>
    <t>Бурение Роторной КНБК</t>
  </si>
  <si>
    <t>Бурение ВЗД (с т/с, без ГК)</t>
  </si>
  <si>
    <t xml:space="preserve">Бурение ВЗД (с т/с, с расширенный комплекс ГИС) </t>
  </si>
  <si>
    <t xml:space="preserve">Отбор изолированного керна </t>
  </si>
  <si>
    <t>Количетсво дней на секцию</t>
  </si>
  <si>
    <t>Бурение Роторной КНБК;</t>
  </si>
  <si>
    <t>Бурение ВЗД (без т/с, без ГК).</t>
  </si>
  <si>
    <t>Бурение ВЗД (с т/с, с ГК)</t>
  </si>
  <si>
    <t>5.8.</t>
  </si>
  <si>
    <t>5.9.</t>
  </si>
  <si>
    <t>пилотный ствол</t>
  </si>
  <si>
    <t>Бурение ВЗД (без т/с, без ГК);</t>
  </si>
  <si>
    <t>Бурение ВЗД (с т/с, без ГК);</t>
  </si>
  <si>
    <t>Бурение ВЗД (с т/с, срасширенный комплекс ГИС)</t>
  </si>
  <si>
    <t>крепление скв. №156</t>
  </si>
  <si>
    <t>крепление скв. №45</t>
  </si>
  <si>
    <t>крепление скв. №21 с МСЦ</t>
  </si>
  <si>
    <t>9.4.</t>
  </si>
  <si>
    <t>9.5.</t>
  </si>
  <si>
    <t>10.3.</t>
  </si>
  <si>
    <t>Ликвидация пилотного ствола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</si>
</sst>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_-* #,##0.0_р_._-;\-* #,##0.0_р_._-;_-* &quot;-&quot;??_р_._-;_-@_-"/>
    <numFmt numFmtId="170" formatCode="#,##0.0"/>
    <numFmt numFmtId="171" formatCode="#,##0.000"/>
    <numFmt numFmtId="172" formatCode="#,##0.00_ ;\-#,##0.00\ "/>
    <numFmt numFmtId="173" formatCode="#,##0.00_р_."/>
    <numFmt numFmtId="174" formatCode="#,##0_р_."/>
    <numFmt numFmtId="175" formatCode="#,##0.00_ ;[Red]\-#,##0.00\ "/>
    <numFmt numFmtId="176" formatCode="[$-409]d\-mmm\-yy;@"/>
    <numFmt numFmtId="177" formatCode="[$-419]d\ mmm;@"/>
    <numFmt numFmtId="178" formatCode="0.0%"/>
    <numFmt numFmtId="179" formatCode="000000"/>
    <numFmt numFmtId="180" formatCode="_-* #,##0.00_ð_._-;\-* #,##0.00_ð_._-;_-* &quot;-&quot;??_ð_._-;_-@_-"/>
    <numFmt numFmtId="181" formatCode="&quot;$&quot;#.;\(&quot;$&quot;#,\)"/>
    <numFmt numFmtId="182" formatCode="_-* #,##0\ _р_._-;\-* #,##0\ _р_._-;_-* &quot;-&quot;\ _р_._-;_-@_-"/>
    <numFmt numFmtId="183" formatCode="_(&quot;$&quot;* #,##0_);_(&quot;$&quot;* \(#,##0\);_(&quot;$&quot;* &quot;-&quot;_);_(@_)"/>
    <numFmt numFmtId="184" formatCode="&quot;$&quot;#,##0_);\(&quot;$&quot;#,##0\)"/>
    <numFmt numFmtId="185" formatCode="_-* #,##0\ _D_M_-;\-* #,##0\ _D_M_-;_-* &quot;-&quot;\ _D_M_-;_-@_-"/>
    <numFmt numFmtId="186" formatCode="_-* #,##0.00\ _D_M_-;\-* #,##0.00\ _D_M_-;_-* &quot;-&quot;??\ _D_M_-;_-@_-"/>
    <numFmt numFmtId="187" formatCode="#,##0.00\ &quot;Pts&quot;;\-#,##0.00\ &quot;Pts&quot;"/>
    <numFmt numFmtId="188" formatCode="_-&quot;£&quot;* #,##0.00_-;\-&quot;£&quot;* #,##0.00_-;_-&quot;£&quot;* &quot;-&quot;??_-;_-@_-"/>
    <numFmt numFmtId="189" formatCode="_-* #,##0.00\ _р_._-;\-* #,##0.00\ _р_._-;_-* &quot;-&quot;??\ _р_._-;_-@_-"/>
    <numFmt numFmtId="190" formatCode="_-* #,##0\ _р_._-;\-* #,##0\ _р_._-;_-* &quot;-&quot;\䁜\䁜\ _р_._-;_-@_-"/>
    <numFmt numFmtId="191" formatCode="_-* #,##0.00\ _đ_._-;\-* #,##0.00\ _đ_._-;_-* &quot;-&quot;??\ _đ_._-;_-@_-"/>
    <numFmt numFmtId="192" formatCode="_(* #,##0.00_);_(* \(#,##0.00\);_(* &quot;-&quot;??_);_(@_)"/>
    <numFmt numFmtId="193" formatCode="0.00;0"/>
    <numFmt numFmtId="194" formatCode="_-* #,##0\ _р_._-;\-* #,##0\ _р_._-;_-* &quot;- &quot;_р_._-;_-@_-"/>
    <numFmt numFmtId="195" formatCode="_(\$* #,##0_);_(\$* \(#,##0\);_(\$* \-_);_(@_)"/>
    <numFmt numFmtId="196" formatCode="0_)"/>
    <numFmt numFmtId="197" formatCode="General_)"/>
    <numFmt numFmtId="198" formatCode="_-* #,##0.00\ _р_._-;\-* #,##0.00\ _р_._-;_-* \-??\ _р_._-;_-@_-"/>
    <numFmt numFmtId="199" formatCode="0.000"/>
    <numFmt numFmtId="200" formatCode="0.0000"/>
    <numFmt numFmtId="201" formatCode="dd/mm/yy\ h:mm;@"/>
  </numFmts>
  <fonts count="19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</font>
    <font>
      <sz val="11"/>
      <name val="Arial Cyr"/>
      <charset val="204"/>
    </font>
    <font>
      <sz val="11"/>
      <name val="Times New Roman"/>
      <family val="1"/>
    </font>
    <font>
      <b/>
      <sz val="11"/>
      <name val="Arial Cyr"/>
      <charset val="204"/>
    </font>
    <font>
      <b/>
      <sz val="11"/>
      <name val="Times New Roman"/>
      <family val="1"/>
    </font>
    <font>
      <sz val="11"/>
      <color indexed="8"/>
      <name val="Times New Roman"/>
      <family val="1"/>
      <charset val="204"/>
    </font>
    <font>
      <sz val="10"/>
      <name val="Times New Roman"/>
      <family val="1"/>
    </font>
    <font>
      <b/>
      <sz val="13"/>
      <name val="Times New Roman"/>
      <family val="1"/>
    </font>
    <font>
      <b/>
      <sz val="11"/>
      <color indexed="8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i/>
      <sz val="11"/>
      <name val="Arial Cyr"/>
      <charset val="204"/>
    </font>
    <font>
      <b/>
      <i/>
      <sz val="10"/>
      <name val="Times New Roman"/>
      <family val="1"/>
    </font>
    <font>
      <b/>
      <i/>
      <sz val="10"/>
      <name val="Arial Cyr"/>
      <charset val="204"/>
    </font>
    <font>
      <i/>
      <sz val="11"/>
      <name val="Times New Roman"/>
      <family val="1"/>
      <charset val="204"/>
    </font>
    <font>
      <b/>
      <i/>
      <sz val="12"/>
      <name val="Times New Roman"/>
      <family val="1"/>
    </font>
    <font>
      <i/>
      <sz val="9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9"/>
      <name val="Times New Roman Cyr"/>
      <family val="1"/>
      <charset val="204"/>
    </font>
    <font>
      <b/>
      <u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i/>
      <sz val="11"/>
      <name val="Times New Roman Cyr"/>
      <charset val="204"/>
    </font>
    <font>
      <i/>
      <sz val="9"/>
      <name val="Times New Roman Cyr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i/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</font>
    <font>
      <b/>
      <sz val="11"/>
      <name val="Times New Roman Cyr"/>
      <charset val="204"/>
    </font>
    <font>
      <i/>
      <sz val="12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i/>
      <sz val="9"/>
      <name val="Arial Cyr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i/>
      <sz val="12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sz val="10"/>
      <name val="Arial"/>
      <family val="2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indexed="10"/>
      <name val="Times New Roman"/>
      <family val="1"/>
      <charset val="204"/>
    </font>
    <font>
      <sz val="8"/>
      <name val="Arial"/>
      <family val="2"/>
    </font>
    <font>
      <sz val="9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i/>
      <sz val="11"/>
      <color indexed="8"/>
      <name val="Calibri"/>
      <family val="2"/>
      <charset val="204"/>
    </font>
    <font>
      <i/>
      <sz val="12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  <charset val="204"/>
    </font>
    <font>
      <b/>
      <sz val="14"/>
      <name val="Times New Roman"/>
      <family val="1"/>
    </font>
    <font>
      <sz val="12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</font>
    <font>
      <sz val="12"/>
      <name val="Tms Rmn"/>
      <charset val="204"/>
    </font>
    <font>
      <sz val="10"/>
      <name val="Geneva"/>
      <family val="2"/>
    </font>
    <font>
      <sz val="12"/>
      <name val="Arial"/>
      <family val="2"/>
      <charset val="204"/>
    </font>
    <font>
      <sz val="10"/>
      <name val="MS Serif"/>
      <family val="1"/>
      <charset val="204"/>
    </font>
    <font>
      <sz val="12"/>
      <color indexed="24"/>
      <name val="Arial"/>
      <family val="2"/>
      <charset val="204"/>
    </font>
    <font>
      <sz val="10"/>
      <color indexed="16"/>
      <name val="MS Serif"/>
      <family val="1"/>
      <charset val="204"/>
    </font>
    <font>
      <u/>
      <sz val="10"/>
      <color indexed="14"/>
      <name val="MS Sans Serif"/>
      <family val="2"/>
      <charset val="204"/>
    </font>
    <font>
      <sz val="8"/>
      <name val="Helv"/>
      <charset val="204"/>
    </font>
    <font>
      <sz val="8"/>
      <name val="Arial"/>
      <family val="2"/>
      <charset val="204"/>
    </font>
    <font>
      <b/>
      <sz val="12"/>
      <color indexed="9"/>
      <name val="Tms Rmn"/>
      <charset val="204"/>
    </font>
    <font>
      <b/>
      <sz val="12"/>
      <name val="Arial"/>
      <family val="2"/>
      <charset val="204"/>
    </font>
    <font>
      <b/>
      <sz val="8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u/>
      <sz val="10"/>
      <color indexed="12"/>
      <name val="Arial"/>
      <family val="2"/>
      <charset val="204"/>
    </font>
    <font>
      <sz val="8"/>
      <name val="Arial Narrow"/>
      <family val="2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0"/>
      <name val="MS Sans Serif"/>
      <family val="2"/>
      <charset val="204"/>
    </font>
    <font>
      <sz val="8"/>
      <name val="Wingdings"/>
      <charset val="2"/>
    </font>
    <font>
      <sz val="8"/>
      <name val="MS Sans Serif"/>
      <family val="2"/>
      <charset val="204"/>
    </font>
    <font>
      <b/>
      <sz val="8"/>
      <color indexed="8"/>
      <name val="Helv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color theme="0"/>
      <name val="Arial"/>
      <family val="2"/>
      <charset val="204"/>
    </font>
    <font>
      <sz val="10"/>
      <color indexed="8"/>
      <name val="Arial Cyr"/>
    </font>
    <font>
      <sz val="10"/>
      <name val="Times New Roman Cyr"/>
      <family val="1"/>
      <charset val="204"/>
    </font>
    <font>
      <sz val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12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  <font>
      <i/>
      <sz val="8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vertAlign val="superscript"/>
      <sz val="13.5"/>
      <color theme="1"/>
      <name val="Times New Roman"/>
      <family val="1"/>
      <charset val="204"/>
    </font>
    <font>
      <b/>
      <vertAlign val="superscript"/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u/>
      <sz val="10"/>
      <name val="Times New Roman"/>
      <family val="1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darkVertical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</fills>
  <borders count="1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0"/>
      </left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6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60"/>
      </left>
      <right/>
      <top style="thick">
        <color indexed="60"/>
      </top>
      <bottom style="thick">
        <color indexed="60"/>
      </bottom>
      <diagonal/>
    </border>
    <border>
      <left/>
      <right/>
      <top style="thick">
        <color indexed="60"/>
      </top>
      <bottom style="thick">
        <color indexed="60"/>
      </bottom>
      <diagonal/>
    </border>
    <border>
      <left/>
      <right style="thick">
        <color indexed="60"/>
      </right>
      <top style="thick">
        <color indexed="60"/>
      </top>
      <bottom style="thick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741">
    <xf numFmtId="0" fontId="0" fillId="0" borderId="0"/>
    <xf numFmtId="165" fontId="57" fillId="0" borderId="0" applyFont="0" applyFill="0" applyBorder="0" applyAlignment="0" applyProtection="0"/>
    <xf numFmtId="0" fontId="115" fillId="0" borderId="0"/>
    <xf numFmtId="0" fontId="115" fillId="0" borderId="0"/>
    <xf numFmtId="0" fontId="51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115" fillId="0" borderId="0"/>
    <xf numFmtId="0" fontId="115" fillId="0" borderId="0"/>
    <xf numFmtId="0" fontId="115" fillId="0" borderId="0"/>
    <xf numFmtId="0" fontId="51" fillId="0" borderId="0"/>
    <xf numFmtId="0" fontId="52" fillId="0" borderId="0"/>
    <xf numFmtId="0" fontId="54" fillId="0" borderId="0">
      <alignment horizontal="center" wrapText="1"/>
      <protection locked="0"/>
    </xf>
    <xf numFmtId="180" fontId="15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181" fontId="117" fillId="0" borderId="0" applyFill="0" applyBorder="0" applyAlignment="0"/>
    <xf numFmtId="181" fontId="117" fillId="0" borderId="0" applyFill="0" applyBorder="0" applyAlignment="0"/>
    <xf numFmtId="181" fontId="117" fillId="0" borderId="0" applyFill="0" applyBorder="0" applyAlignment="0"/>
    <xf numFmtId="182" fontId="118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19" fillId="0" borderId="0" applyNumberFormat="0" applyAlignment="0">
      <alignment horizontal="left"/>
    </xf>
    <xf numFmtId="183" fontId="118" fillId="0" borderId="0" applyFont="0" applyFill="0" applyBorder="0" applyAlignment="0" applyProtection="0"/>
    <xf numFmtId="184" fontId="78" fillId="2" borderId="1" applyFill="0" applyBorder="0"/>
    <xf numFmtId="0" fontId="120" fillId="0" borderId="0" applyNumberFormat="0" applyFill="0" applyBorder="0" applyAlignment="0" applyProtection="0"/>
    <xf numFmtId="185" fontId="51" fillId="0" borderId="0" applyFont="0" applyFill="0" applyBorder="0" applyAlignment="0" applyProtection="0"/>
    <xf numFmtId="186" fontId="51" fillId="0" borderId="0" applyFont="0" applyFill="0" applyBorder="0" applyAlignment="0" applyProtection="0"/>
    <xf numFmtId="0" fontId="121" fillId="0" borderId="0" applyNumberFormat="0" applyAlignment="0">
      <alignment horizontal="left"/>
    </xf>
    <xf numFmtId="2" fontId="120" fillId="0" borderId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/>
    <xf numFmtId="38" fontId="124" fillId="3" borderId="0" applyNumberFormat="0" applyBorder="0" applyAlignment="0" applyProtection="0"/>
    <xf numFmtId="0" fontId="125" fillId="4" borderId="0"/>
    <xf numFmtId="0" fontId="126" fillId="0" borderId="2" applyNumberFormat="0" applyAlignment="0" applyProtection="0">
      <alignment horizontal="left" vertical="center"/>
    </xf>
    <xf numFmtId="0" fontId="126" fillId="0" borderId="3">
      <alignment horizontal="left" vertical="center"/>
    </xf>
    <xf numFmtId="0" fontId="127" fillId="0" borderId="4">
      <alignment horizontal="center"/>
    </xf>
    <xf numFmtId="0" fontId="127" fillId="0" borderId="0">
      <alignment horizontal="center"/>
    </xf>
    <xf numFmtId="0" fontId="128" fillId="0" borderId="0" applyNumberFormat="0" applyFill="0" applyBorder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10" fontId="124" fillId="5" borderId="1" applyNumberFormat="0" applyBorder="0" applyAlignment="0" applyProtection="0"/>
    <xf numFmtId="12" fontId="130" fillId="6" borderId="5" applyNumberFormat="0" applyFont="0" applyBorder="0" applyAlignment="0">
      <alignment horizontal="center"/>
      <protection locked="0"/>
    </xf>
    <xf numFmtId="12" fontId="130" fillId="6" borderId="5" applyNumberFormat="0" applyFont="0" applyBorder="0" applyAlignment="0">
      <alignment horizontal="center"/>
      <protection locked="0"/>
    </xf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87" fontId="51" fillId="0" borderId="0"/>
    <xf numFmtId="0" fontId="78" fillId="0" borderId="0"/>
    <xf numFmtId="0" fontId="51" fillId="0" borderId="0"/>
    <xf numFmtId="0" fontId="78" fillId="0" borderId="0"/>
    <xf numFmtId="0" fontId="51" fillId="0" borderId="0"/>
    <xf numFmtId="0" fontId="51" fillId="0" borderId="0"/>
    <xf numFmtId="0" fontId="78" fillId="0" borderId="0"/>
    <xf numFmtId="0" fontId="133" fillId="0" borderId="0"/>
    <xf numFmtId="176" fontId="78" fillId="0" borderId="0"/>
    <xf numFmtId="176" fontId="78" fillId="0" borderId="0"/>
    <xf numFmtId="0" fontId="51" fillId="0" borderId="0"/>
    <xf numFmtId="0" fontId="51" fillId="0" borderId="0"/>
    <xf numFmtId="0" fontId="15" fillId="0" borderId="0"/>
    <xf numFmtId="0" fontId="51" fillId="0" borderId="0"/>
    <xf numFmtId="0" fontId="51" fillId="0" borderId="0"/>
    <xf numFmtId="0" fontId="30" fillId="0" borderId="0"/>
    <xf numFmtId="0" fontId="115" fillId="0" borderId="0"/>
    <xf numFmtId="14" fontId="54" fillId="0" borderId="0">
      <alignment horizontal="center" wrapText="1"/>
      <protection locked="0"/>
    </xf>
    <xf numFmtId="10" fontId="51" fillId="0" borderId="0" applyFont="0" applyFill="0" applyBorder="0" applyAlignment="0" applyProtection="0"/>
    <xf numFmtId="0" fontId="134" fillId="7" borderId="0" applyNumberFormat="0" applyFont="0" applyBorder="0" applyAlignment="0">
      <alignment horizontal="center"/>
    </xf>
    <xf numFmtId="14" fontId="123" fillId="0" borderId="0" applyNumberFormat="0" applyFill="0" applyBorder="0" applyAlignment="0" applyProtection="0">
      <alignment horizontal="left"/>
    </xf>
    <xf numFmtId="0" fontId="134" fillId="1" borderId="3" applyNumberFormat="0" applyFont="0" applyAlignment="0">
      <alignment horizontal="center"/>
    </xf>
    <xf numFmtId="0" fontId="123" fillId="0" borderId="6"/>
    <xf numFmtId="0" fontId="135" fillId="0" borderId="0" applyNumberFormat="0" applyFill="0" applyBorder="0" applyAlignment="0">
      <alignment horizontal="center"/>
    </xf>
    <xf numFmtId="0" fontId="51" fillId="0" borderId="0"/>
    <xf numFmtId="40" fontId="136" fillId="0" borderId="0" applyBorder="0">
      <alignment horizontal="right"/>
    </xf>
    <xf numFmtId="0" fontId="120" fillId="0" borderId="7" applyNumberFormat="0" applyFill="0" applyAlignment="0" applyProtection="0"/>
    <xf numFmtId="182" fontId="57" fillId="0" borderId="0" applyFont="0" applyFill="0" applyBorder="0" applyAlignment="0" applyProtection="0"/>
    <xf numFmtId="188" fontId="51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14" fillId="0" borderId="0" applyFont="0" applyFill="0" applyBorder="0" applyAlignment="0" applyProtection="0"/>
    <xf numFmtId="166" fontId="137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165" fontId="15" fillId="0" borderId="0" applyFont="0" applyFill="0" applyBorder="0" applyAlignment="0" applyProtection="0"/>
    <xf numFmtId="189" fontId="57" fillId="0" borderId="0" applyFont="0" applyFill="0" applyBorder="0" applyAlignment="0" applyProtection="0"/>
    <xf numFmtId="0" fontId="73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51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" fillId="0" borderId="0" applyFill="0"/>
    <xf numFmtId="0" fontId="15" fillId="0" borderId="0" applyFill="0"/>
    <xf numFmtId="0" fontId="15" fillId="0" borderId="0" applyFill="0"/>
    <xf numFmtId="0" fontId="15" fillId="0" borderId="0" applyFill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6" fillId="0" borderId="0"/>
    <xf numFmtId="0" fontId="9" fillId="0" borderId="0"/>
    <xf numFmtId="0" fontId="15" fillId="0" borderId="0"/>
    <xf numFmtId="0" fontId="51" fillId="0" borderId="0"/>
    <xf numFmtId="0" fontId="15" fillId="0" borderId="0"/>
    <xf numFmtId="0" fontId="14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40" fillId="0" borderId="0"/>
    <xf numFmtId="0" fontId="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" fillId="0" borderId="0"/>
    <xf numFmtId="0" fontId="1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5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78" fillId="0" borderId="0"/>
    <xf numFmtId="0" fontId="73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52" fillId="0" borderId="0"/>
    <xf numFmtId="0" fontId="9" fillId="0" borderId="0"/>
    <xf numFmtId="0" fontId="15" fillId="0" borderId="0"/>
    <xf numFmtId="0" fontId="85" fillId="0" borderId="0"/>
    <xf numFmtId="0" fontId="51" fillId="0" borderId="0"/>
    <xf numFmtId="0" fontId="9" fillId="0" borderId="0"/>
    <xf numFmtId="0" fontId="15" fillId="0" borderId="0"/>
    <xf numFmtId="0" fontId="57" fillId="0" borderId="0"/>
    <xf numFmtId="0" fontId="57" fillId="0" borderId="0"/>
    <xf numFmtId="0" fontId="51" fillId="0" borderId="0"/>
    <xf numFmtId="0" fontId="9" fillId="0" borderId="0"/>
    <xf numFmtId="0" fontId="15" fillId="0" borderId="0"/>
    <xf numFmtId="0" fontId="15" fillId="0" borderId="0"/>
    <xf numFmtId="0" fontId="52" fillId="0" borderId="0"/>
    <xf numFmtId="0" fontId="9" fillId="0" borderId="0"/>
    <xf numFmtId="0" fontId="15" fillId="0" borderId="0"/>
    <xf numFmtId="180" fontId="15" fillId="0" borderId="0" applyFont="0" applyFill="0" applyBorder="0" applyAlignment="0" applyProtection="0"/>
    <xf numFmtId="190" fontId="57" fillId="0" borderId="0" applyFont="0" applyFill="0" applyBorder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15" fillId="0" borderId="0"/>
    <xf numFmtId="0" fontId="51" fillId="0" borderId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91" fontId="15" fillId="0" borderId="0" applyFont="0" applyFill="0" applyBorder="0" applyAlignment="0" applyProtection="0"/>
    <xf numFmtId="167" fontId="57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6" fillId="0" borderId="0"/>
    <xf numFmtId="0" fontId="5" fillId="0" borderId="0"/>
    <xf numFmtId="0" fontId="16" fillId="0" borderId="0"/>
    <xf numFmtId="0" fontId="9" fillId="0" borderId="0"/>
    <xf numFmtId="0" fontId="14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92" fontId="5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45" fillId="0" borderId="0" applyNumberFormat="0" applyFill="0" applyBorder="0" applyProtection="0"/>
    <xf numFmtId="0" fontId="145" fillId="0" borderId="0" applyNumberFormat="0" applyFill="0" applyBorder="0" applyProtection="0"/>
    <xf numFmtId="0" fontId="145" fillId="0" borderId="0" applyNumberFormat="0" applyFill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7" fontId="9" fillId="0" borderId="0" applyFont="0" applyFill="0" applyBorder="0" applyAlignment="0" applyProtection="0"/>
    <xf numFmtId="4" fontId="146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78" fillId="0" borderId="0"/>
    <xf numFmtId="0" fontId="78" fillId="0" borderId="0"/>
    <xf numFmtId="0" fontId="51" fillId="0" borderId="0"/>
    <xf numFmtId="0" fontId="78" fillId="0" borderId="0"/>
    <xf numFmtId="4" fontId="146" fillId="0" borderId="0">
      <alignment vertical="center"/>
    </xf>
    <xf numFmtId="0" fontId="78" fillId="0" borderId="0"/>
    <xf numFmtId="0" fontId="51" fillId="0" borderId="0"/>
    <xf numFmtId="0" fontId="51" fillId="0" borderId="0"/>
    <xf numFmtId="0" fontId="51" fillId="0" borderId="0"/>
    <xf numFmtId="4" fontId="146" fillId="0" borderId="0">
      <alignment vertical="center"/>
    </xf>
    <xf numFmtId="0" fontId="51" fillId="0" borderId="0"/>
    <xf numFmtId="4" fontId="146" fillId="0" borderId="0">
      <alignment vertical="center"/>
    </xf>
    <xf numFmtId="0" fontId="51" fillId="0" borderId="0"/>
    <xf numFmtId="0" fontId="51" fillId="0" borderId="0"/>
    <xf numFmtId="4" fontId="146" fillId="0" borderId="0">
      <alignment vertical="center"/>
    </xf>
    <xf numFmtId="0" fontId="78" fillId="0" borderId="0"/>
    <xf numFmtId="0" fontId="78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4" fontId="146" fillId="0" borderId="0">
      <alignment vertical="center"/>
    </xf>
    <xf numFmtId="0" fontId="51" fillId="0" borderId="0"/>
    <xf numFmtId="0" fontId="51" fillId="0" borderId="0"/>
    <xf numFmtId="0" fontId="78" fillId="0" borderId="0"/>
    <xf numFmtId="0" fontId="78" fillId="0" borderId="0"/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4" fontId="146" fillId="0" borderId="0">
      <alignment vertical="center"/>
    </xf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3" fontId="73" fillId="0" borderId="0" applyFill="0" applyBorder="0" applyAlignment="0" applyProtection="0"/>
    <xf numFmtId="193" fontId="73" fillId="0" borderId="0">
      <alignment horizontal="center"/>
    </xf>
    <xf numFmtId="194" fontId="73" fillId="0" borderId="0" applyFill="0" applyBorder="0" applyAlignment="0" applyProtection="0"/>
    <xf numFmtId="195" fontId="73" fillId="0" borderId="0" applyFill="0" applyBorder="0" applyAlignment="0" applyProtection="0"/>
    <xf numFmtId="0" fontId="147" fillId="0" borderId="0"/>
    <xf numFmtId="0" fontId="146" fillId="0" borderId="0"/>
    <xf numFmtId="196" fontId="148" fillId="0" borderId="88">
      <alignment horizontal="justify" vertical="top" wrapText="1"/>
    </xf>
    <xf numFmtId="197" fontId="73" fillId="0" borderId="89">
      <protection locked="0"/>
    </xf>
    <xf numFmtId="197" fontId="149" fillId="18" borderId="89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4" fontId="73" fillId="0" borderId="0" applyFill="0" applyBorder="0" applyAlignment="0" applyProtection="0"/>
    <xf numFmtId="3" fontId="73" fillId="0" borderId="0" applyBorder="0">
      <alignment horizontal="right"/>
      <protection locked="0"/>
    </xf>
    <xf numFmtId="198" fontId="73" fillId="0" borderId="0" applyFill="0" applyBorder="0" applyAlignment="0" applyProtection="0"/>
    <xf numFmtId="167" fontId="51" fillId="0" borderId="0" applyFill="0" applyBorder="0" applyAlignment="0" applyProtection="0"/>
    <xf numFmtId="0" fontId="3" fillId="0" borderId="0"/>
    <xf numFmtId="0" fontId="145" fillId="0" borderId="0" applyNumberForma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2578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  <xf numFmtId="0" fontId="25" fillId="0" borderId="0" xfId="0" applyFont="1" applyFill="1"/>
    <xf numFmtId="0" fontId="26" fillId="0" borderId="9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14" fillId="0" borderId="9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30" fillId="0" borderId="0" xfId="0" applyFont="1"/>
    <xf numFmtId="0" fontId="14" fillId="9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0" fontId="26" fillId="0" borderId="0" xfId="0" applyFont="1" applyFill="1"/>
    <xf numFmtId="0" fontId="3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5" fillId="9" borderId="9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6" fillId="0" borderId="0" xfId="830"/>
    <xf numFmtId="0" fontId="29" fillId="9" borderId="12" xfId="1915" applyFont="1" applyFill="1" applyBorder="1" applyAlignment="1" applyProtection="1">
      <alignment horizontal="center" vertical="center" wrapText="1"/>
      <protection locked="0"/>
    </xf>
    <xf numFmtId="3" fontId="29" fillId="9" borderId="12" xfId="1915" applyNumberFormat="1" applyFont="1" applyFill="1" applyBorder="1" applyAlignment="1" applyProtection="1">
      <alignment horizontal="center" vertical="center" wrapText="1"/>
      <protection locked="0"/>
    </xf>
    <xf numFmtId="4" fontId="29" fillId="9" borderId="12" xfId="1915" applyNumberFormat="1" applyFont="1" applyFill="1" applyBorder="1" applyAlignment="1" applyProtection="1">
      <alignment horizontal="center" vertical="center" wrapText="1"/>
      <protection locked="0"/>
    </xf>
    <xf numFmtId="3" fontId="29" fillId="9" borderId="13" xfId="1915" applyNumberFormat="1" applyFont="1" applyFill="1" applyBorder="1" applyAlignment="1" applyProtection="1">
      <alignment horizontal="center" vertical="center" wrapText="1"/>
      <protection locked="0"/>
    </xf>
    <xf numFmtId="0" fontId="29" fillId="9" borderId="1" xfId="1915" applyFont="1" applyFill="1" applyBorder="1" applyAlignment="1" applyProtection="1">
      <alignment horizontal="center" vertical="center" wrapText="1"/>
      <protection locked="0"/>
    </xf>
    <xf numFmtId="3" fontId="29" fillId="9" borderId="1" xfId="1915" applyNumberFormat="1" applyFont="1" applyFill="1" applyBorder="1" applyAlignment="1" applyProtection="1">
      <alignment horizontal="center" vertical="center" wrapText="1"/>
      <protection locked="0"/>
    </xf>
    <xf numFmtId="0" fontId="29" fillId="9" borderId="1" xfId="1915" applyFont="1" applyFill="1" applyBorder="1" applyAlignment="1" applyProtection="1">
      <alignment horizontal="center" vertical="center"/>
      <protection locked="0"/>
    </xf>
    <xf numFmtId="4" fontId="29" fillId="9" borderId="1" xfId="1915" applyNumberFormat="1" applyFont="1" applyFill="1" applyBorder="1" applyAlignment="1" applyProtection="1">
      <alignment horizontal="center" vertical="center"/>
      <protection locked="0"/>
    </xf>
    <xf numFmtId="3" fontId="29" fillId="9" borderId="1" xfId="1915" applyNumberFormat="1" applyFont="1" applyFill="1" applyBorder="1" applyAlignment="1" applyProtection="1">
      <alignment horizontal="center" vertical="center"/>
      <protection locked="0"/>
    </xf>
    <xf numFmtId="3" fontId="29" fillId="9" borderId="10" xfId="1915" applyNumberFormat="1" applyFont="1" applyFill="1" applyBorder="1" applyAlignment="1" applyProtection="1">
      <alignment horizontal="center" vertical="center"/>
      <protection locked="0"/>
    </xf>
    <xf numFmtId="0" fontId="29" fillId="9" borderId="1" xfId="1915" applyFont="1" applyFill="1" applyBorder="1" applyAlignment="1" applyProtection="1">
      <alignment horizontal="center" vertical="justify" wrapText="1"/>
      <protection locked="0"/>
    </xf>
    <xf numFmtId="49" fontId="29" fillId="9" borderId="1" xfId="1915" applyNumberFormat="1" applyFont="1" applyFill="1" applyBorder="1" applyAlignment="1" applyProtection="1">
      <alignment horizontal="center" vertical="top" wrapText="1"/>
      <protection locked="0"/>
    </xf>
    <xf numFmtId="0" fontId="29" fillId="9" borderId="9" xfId="1915" applyFont="1" applyFill="1" applyBorder="1" applyAlignment="1" applyProtection="1">
      <alignment horizontal="center" vertical="justify" wrapText="1"/>
      <protection locked="0"/>
    </xf>
    <xf numFmtId="0" fontId="10" fillId="0" borderId="0" xfId="1915" applyFont="1" applyAlignment="1">
      <alignment horizontal="center"/>
    </xf>
    <xf numFmtId="3" fontId="10" fillId="0" borderId="0" xfId="1915" applyNumberFormat="1" applyFont="1" applyAlignment="1">
      <alignment horizontal="center"/>
    </xf>
    <xf numFmtId="0" fontId="10" fillId="0" borderId="0" xfId="1915" applyFont="1"/>
    <xf numFmtId="0" fontId="41" fillId="0" borderId="0" xfId="1915" applyFont="1" applyAlignment="1">
      <alignment horizontal="center"/>
    </xf>
    <xf numFmtId="4" fontId="41" fillId="0" borderId="0" xfId="1915" applyNumberFormat="1" applyFont="1" applyAlignment="1">
      <alignment horizontal="center"/>
    </xf>
    <xf numFmtId="3" fontId="41" fillId="0" borderId="0" xfId="1915" applyNumberFormat="1" applyFont="1" applyAlignment="1">
      <alignment horizontal="center"/>
    </xf>
    <xf numFmtId="0" fontId="41" fillId="0" borderId="0" xfId="1915" applyFont="1" applyAlignment="1">
      <alignment horizontal="left"/>
    </xf>
    <xf numFmtId="3" fontId="41" fillId="0" borderId="0" xfId="1915" applyNumberFormat="1" applyFont="1" applyAlignment="1">
      <alignment horizontal="centerContinuous" wrapText="1"/>
    </xf>
    <xf numFmtId="0" fontId="42" fillId="0" borderId="0" xfId="1915" applyFont="1" applyAlignment="1">
      <alignment horizontal="centerContinuous" wrapText="1"/>
    </xf>
    <xf numFmtId="3" fontId="41" fillId="0" borderId="0" xfId="1915" applyNumberFormat="1" applyFont="1" applyAlignment="1">
      <alignment horizontal="center" wrapText="1"/>
    </xf>
    <xf numFmtId="0" fontId="10" fillId="0" borderId="0" xfId="1915" applyFont="1" applyAlignment="1">
      <alignment vertical="center"/>
    </xf>
    <xf numFmtId="0" fontId="10" fillId="0" borderId="0" xfId="1915" applyFont="1" applyBorder="1" applyAlignment="1">
      <alignment horizontal="center"/>
    </xf>
    <xf numFmtId="4" fontId="10" fillId="0" borderId="0" xfId="1915" applyNumberFormat="1" applyFont="1" applyAlignment="1">
      <alignment horizontal="center"/>
    </xf>
    <xf numFmtId="3" fontId="10" fillId="0" borderId="0" xfId="1915" applyNumberFormat="1" applyFont="1" applyBorder="1" applyAlignment="1">
      <alignment horizontal="center"/>
    </xf>
    <xf numFmtId="49" fontId="10" fillId="0" borderId="0" xfId="1915" applyNumberFormat="1" applyFont="1" applyBorder="1" applyAlignment="1">
      <alignment horizontal="center"/>
    </xf>
    <xf numFmtId="49" fontId="10" fillId="0" borderId="0" xfId="1915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3" fillId="0" borderId="10" xfId="0" applyFont="1" applyBorder="1"/>
    <xf numFmtId="49" fontId="23" fillId="0" borderId="9" xfId="0" applyNumberFormat="1" applyFont="1" applyBorder="1" applyAlignment="1">
      <alignment horizontal="center"/>
    </xf>
    <xf numFmtId="0" fontId="2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14" fillId="0" borderId="9" xfId="0" applyNumberFormat="1" applyFont="1" applyBorder="1" applyAlignment="1">
      <alignment horizontal="center"/>
    </xf>
    <xf numFmtId="49" fontId="14" fillId="0" borderId="9" xfId="0" applyNumberFormat="1" applyFont="1" applyBorder="1" applyAlignment="1">
      <alignment horizontal="center" vertical="center"/>
    </xf>
    <xf numFmtId="49" fontId="23" fillId="9" borderId="9" xfId="0" applyNumberFormat="1" applyFont="1" applyFill="1" applyBorder="1" applyAlignment="1">
      <alignment horizontal="center"/>
    </xf>
    <xf numFmtId="0" fontId="23" fillId="9" borderId="1" xfId="0" applyFont="1" applyFill="1" applyBorder="1"/>
    <xf numFmtId="49" fontId="23" fillId="9" borderId="11" xfId="0" applyNumberFormat="1" applyFont="1" applyFill="1" applyBorder="1" applyAlignment="1">
      <alignment horizontal="center"/>
    </xf>
    <xf numFmtId="0" fontId="23" fillId="9" borderId="14" xfId="0" applyFont="1" applyFill="1" applyBorder="1"/>
    <xf numFmtId="0" fontId="23" fillId="0" borderId="0" xfId="0" applyFont="1" applyAlignment="1">
      <alignment horizontal="center"/>
    </xf>
    <xf numFmtId="0" fontId="23" fillId="0" borderId="0" xfId="0" applyFont="1"/>
    <xf numFmtId="49" fontId="23" fillId="0" borderId="0" xfId="0" applyNumberFormat="1" applyFont="1" applyAlignment="1">
      <alignment horizontal="center"/>
    </xf>
    <xf numFmtId="0" fontId="43" fillId="9" borderId="9" xfId="0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3" fillId="9" borderId="10" xfId="0" applyFont="1" applyFill="1" applyBorder="1" applyAlignment="1">
      <alignment horizontal="center" vertical="center" wrapText="1"/>
    </xf>
    <xf numFmtId="0" fontId="14" fillId="0" borderId="9" xfId="0" applyFont="1" applyBorder="1"/>
    <xf numFmtId="49" fontId="23" fillId="0" borderId="9" xfId="0" applyNumberFormat="1" applyFont="1" applyBorder="1"/>
    <xf numFmtId="49" fontId="14" fillId="0" borderId="9" xfId="0" applyNumberFormat="1" applyFont="1" applyBorder="1"/>
    <xf numFmtId="49" fontId="14" fillId="0" borderId="9" xfId="0" applyNumberFormat="1" applyFont="1" applyBorder="1" applyAlignment="1">
      <alignment vertical="center"/>
    </xf>
    <xf numFmtId="49" fontId="23" fillId="9" borderId="9" xfId="0" applyNumberFormat="1" applyFont="1" applyFill="1" applyBorder="1"/>
    <xf numFmtId="49" fontId="23" fillId="9" borderId="11" xfId="0" applyNumberFormat="1" applyFont="1" applyFill="1" applyBorder="1"/>
    <xf numFmtId="49" fontId="23" fillId="0" borderId="0" xfId="0" applyNumberFormat="1" applyFont="1"/>
    <xf numFmtId="0" fontId="23" fillId="0" borderId="9" xfId="0" applyFont="1" applyBorder="1"/>
    <xf numFmtId="0" fontId="43" fillId="9" borderId="15" xfId="0" applyFont="1" applyFill="1" applyBorder="1" applyAlignment="1">
      <alignment horizontal="center" vertical="center" wrapText="1"/>
    </xf>
    <xf numFmtId="0" fontId="43" fillId="9" borderId="12" xfId="0" applyFont="1" applyFill="1" applyBorder="1" applyAlignment="1">
      <alignment horizontal="center" vertical="center" wrapText="1"/>
    </xf>
    <xf numFmtId="0" fontId="43" fillId="9" borderId="13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23" fillId="0" borderId="16" xfId="0" applyFont="1" applyBorder="1"/>
    <xf numFmtId="0" fontId="23" fillId="0" borderId="1" xfId="0" applyFont="1" applyBorder="1" applyAlignment="1">
      <alignment horizontal="center" vertical="center"/>
    </xf>
    <xf numFmtId="0" fontId="43" fillId="9" borderId="17" xfId="0" applyFont="1" applyFill="1" applyBorder="1" applyAlignment="1">
      <alignment horizontal="center" vertical="center" wrapText="1"/>
    </xf>
    <xf numFmtId="0" fontId="43" fillId="9" borderId="18" xfId="0" applyFont="1" applyFill="1" applyBorder="1" applyAlignment="1">
      <alignment horizontal="center" vertical="center" wrapText="1"/>
    </xf>
    <xf numFmtId="0" fontId="43" fillId="9" borderId="19" xfId="0" applyFont="1" applyFill="1" applyBorder="1" applyAlignment="1">
      <alignment horizontal="center" vertical="center" wrapText="1"/>
    </xf>
    <xf numFmtId="0" fontId="43" fillId="9" borderId="1" xfId="0" applyFont="1" applyFill="1" applyBorder="1"/>
    <xf numFmtId="0" fontId="43" fillId="9" borderId="14" xfId="0" applyFont="1" applyFill="1" applyBorder="1"/>
    <xf numFmtId="0" fontId="30" fillId="0" borderId="0" xfId="0" applyFont="1" applyBorder="1" applyAlignment="1">
      <alignment horizontal="center" vertical="top"/>
    </xf>
    <xf numFmtId="10" fontId="44" fillId="0" borderId="0" xfId="1930" applyNumberFormat="1" applyFont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0" fillId="0" borderId="2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23" fillId="0" borderId="0" xfId="0" applyFont="1" applyBorder="1"/>
    <xf numFmtId="0" fontId="14" fillId="9" borderId="11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3" fillId="0" borderId="0" xfId="0" applyFont="1" applyAlignment="1">
      <alignment horizontal="center" vertical="center"/>
    </xf>
    <xf numFmtId="0" fontId="43" fillId="9" borderId="9" xfId="0" applyFont="1" applyFill="1" applyBorder="1" applyAlignment="1">
      <alignment horizontal="center" vertical="center"/>
    </xf>
    <xf numFmtId="0" fontId="43" fillId="9" borderId="10" xfId="0" applyFont="1" applyFill="1" applyBorder="1" applyAlignment="1">
      <alignment horizontal="center" vertical="center"/>
    </xf>
    <xf numFmtId="0" fontId="23" fillId="0" borderId="0" xfId="0" applyFont="1" applyFill="1"/>
    <xf numFmtId="0" fontId="14" fillId="0" borderId="0" xfId="0" applyFont="1" applyFill="1"/>
    <xf numFmtId="0" fontId="23" fillId="0" borderId="20" xfId="0" applyFont="1" applyBorder="1" applyAlignment="1"/>
    <xf numFmtId="0" fontId="23" fillId="0" borderId="0" xfId="0" applyFont="1" applyBorder="1" applyAlignment="1"/>
    <xf numFmtId="0" fontId="23" fillId="0" borderId="0" xfId="0" applyFont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37" fillId="0" borderId="0" xfId="0" applyFont="1" applyAlignment="1"/>
    <xf numFmtId="0" fontId="43" fillId="0" borderId="1" xfId="0" applyFont="1" applyBorder="1"/>
    <xf numFmtId="0" fontId="43" fillId="0" borderId="1" xfId="0" applyFont="1" applyBorder="1" applyAlignment="1">
      <alignment vertical="center" wrapText="1"/>
    </xf>
    <xf numFmtId="0" fontId="43" fillId="0" borderId="16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" fontId="26" fillId="0" borderId="9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3" fillId="0" borderId="0" xfId="0" applyFont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center"/>
    </xf>
    <xf numFmtId="0" fontId="43" fillId="0" borderId="0" xfId="0" applyFont="1" applyFill="1" applyBorder="1"/>
    <xf numFmtId="0" fontId="23" fillId="0" borderId="0" xfId="0" applyFont="1" applyFill="1" applyBorder="1"/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3" fontId="28" fillId="0" borderId="10" xfId="0" applyNumberFormat="1" applyFont="1" applyFill="1" applyBorder="1" applyAlignment="1">
      <alignment horizontal="center" vertical="center" wrapText="1"/>
    </xf>
    <xf numFmtId="3" fontId="14" fillId="9" borderId="10" xfId="0" applyNumberFormat="1" applyFont="1" applyFill="1" applyBorder="1" applyAlignment="1">
      <alignment horizontal="center" vertical="center" wrapText="1"/>
    </xf>
    <xf numFmtId="3" fontId="38" fillId="9" borderId="21" xfId="0" applyNumberFormat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49" fontId="29" fillId="9" borderId="10" xfId="1915" applyNumberFormat="1" applyFont="1" applyFill="1" applyBorder="1" applyAlignment="1" applyProtection="1">
      <alignment horizontal="center" vertical="top" wrapText="1"/>
      <protection locked="0"/>
    </xf>
    <xf numFmtId="0" fontId="47" fillId="0" borderId="0" xfId="1924" applyFont="1" applyAlignment="1">
      <alignment horizontal="center" vertical="center"/>
    </xf>
    <xf numFmtId="167" fontId="47" fillId="0" borderId="0" xfId="1924" applyNumberFormat="1" applyFont="1" applyAlignment="1">
      <alignment horizontal="center" vertical="center"/>
    </xf>
    <xf numFmtId="0" fontId="48" fillId="0" borderId="0" xfId="1924" applyFont="1" applyAlignment="1">
      <alignment horizontal="center" vertical="center"/>
    </xf>
    <xf numFmtId="167" fontId="48" fillId="0" borderId="0" xfId="1924" applyNumberFormat="1" applyFont="1" applyAlignment="1">
      <alignment horizontal="center" vertical="center"/>
    </xf>
    <xf numFmtId="0" fontId="49" fillId="9" borderId="15" xfId="1924" applyFont="1" applyFill="1" applyBorder="1" applyAlignment="1">
      <alignment horizontal="center" vertical="center" wrapText="1"/>
    </xf>
    <xf numFmtId="0" fontId="49" fillId="9" borderId="12" xfId="1924" applyFont="1" applyFill="1" applyBorder="1" applyAlignment="1">
      <alignment horizontal="center" vertical="center" wrapText="1"/>
    </xf>
    <xf numFmtId="0" fontId="49" fillId="9" borderId="13" xfId="1924" applyFont="1" applyFill="1" applyBorder="1" applyAlignment="1">
      <alignment horizontal="center" vertical="center" wrapText="1"/>
    </xf>
    <xf numFmtId="0" fontId="49" fillId="9" borderId="9" xfId="1924" applyFont="1" applyFill="1" applyBorder="1" applyAlignment="1">
      <alignment horizontal="center" vertical="center"/>
    </xf>
    <xf numFmtId="0" fontId="49" fillId="9" borderId="1" xfId="1924" applyFont="1" applyFill="1" applyBorder="1" applyAlignment="1">
      <alignment horizontal="center" vertical="center"/>
    </xf>
    <xf numFmtId="0" fontId="49" fillId="9" borderId="10" xfId="1924" applyFont="1" applyFill="1" applyBorder="1" applyAlignment="1">
      <alignment horizontal="center" vertical="center"/>
    </xf>
    <xf numFmtId="0" fontId="49" fillId="0" borderId="9" xfId="1924" applyFont="1" applyFill="1" applyBorder="1" applyAlignment="1">
      <alignment horizontal="center" vertical="center"/>
    </xf>
    <xf numFmtId="0" fontId="50" fillId="0" borderId="1" xfId="1924" applyFont="1" applyFill="1" applyBorder="1" applyAlignment="1">
      <alignment horizontal="left" vertical="center" wrapText="1"/>
    </xf>
    <xf numFmtId="0" fontId="47" fillId="0" borderId="1" xfId="1924" applyFont="1" applyBorder="1" applyAlignment="1">
      <alignment horizontal="left" vertical="center" wrapText="1"/>
    </xf>
    <xf numFmtId="167" fontId="47" fillId="0" borderId="0" xfId="1924" applyNumberFormat="1" applyFont="1" applyAlignment="1">
      <alignment horizontal="center" vertical="center" wrapText="1"/>
    </xf>
    <xf numFmtId="0" fontId="47" fillId="0" borderId="0" xfId="1924" applyFont="1" applyAlignment="1">
      <alignment horizontal="center" vertical="center" wrapText="1"/>
    </xf>
    <xf numFmtId="0" fontId="47" fillId="0" borderId="9" xfId="1924" applyFont="1" applyBorder="1" applyAlignment="1">
      <alignment horizontal="center" vertical="center"/>
    </xf>
    <xf numFmtId="0" fontId="48" fillId="0" borderId="1" xfId="1924" applyFont="1" applyBorder="1" applyAlignment="1">
      <alignment horizontal="right" vertical="center"/>
    </xf>
    <xf numFmtId="4" fontId="48" fillId="0" borderId="1" xfId="1924" applyNumberFormat="1" applyFont="1" applyBorder="1" applyAlignment="1">
      <alignment horizontal="center" vertical="center"/>
    </xf>
    <xf numFmtId="0" fontId="47" fillId="0" borderId="11" xfId="1924" applyFont="1" applyBorder="1" applyAlignment="1">
      <alignment horizontal="center" vertical="center"/>
    </xf>
    <xf numFmtId="0" fontId="47" fillId="0" borderId="14" xfId="1924" applyFont="1" applyBorder="1" applyAlignment="1">
      <alignment horizontal="left" vertical="center" wrapText="1"/>
    </xf>
    <xf numFmtId="0" fontId="47" fillId="0" borderId="14" xfId="1924" applyFont="1" applyBorder="1" applyAlignment="1">
      <alignment horizontal="center" vertical="center"/>
    </xf>
    <xf numFmtId="0" fontId="48" fillId="0" borderId="0" xfId="1924" applyFont="1" applyAlignment="1">
      <alignment horizontal="right" vertical="center"/>
    </xf>
    <xf numFmtId="0" fontId="44" fillId="0" borderId="0" xfId="1924" applyFont="1" applyAlignment="1">
      <alignment horizontal="center" vertical="center"/>
    </xf>
    <xf numFmtId="167" fontId="44" fillId="0" borderId="0" xfId="1924" applyNumberFormat="1" applyFont="1" applyAlignment="1">
      <alignment horizontal="center" vertical="center"/>
    </xf>
    <xf numFmtId="0" fontId="23" fillId="0" borderId="0" xfId="854" applyFont="1" applyFill="1"/>
    <xf numFmtId="0" fontId="23" fillId="0" borderId="0" xfId="854" applyFont="1" applyFill="1" applyAlignment="1">
      <alignment horizontal="center"/>
    </xf>
    <xf numFmtId="0" fontId="14" fillId="0" borderId="0" xfId="1911" applyFont="1" applyFill="1" applyBorder="1" applyAlignment="1">
      <alignment horizontal="center" vertical="center"/>
    </xf>
    <xf numFmtId="0" fontId="43" fillId="0" borderId="0" xfId="1911" applyFont="1" applyFill="1" applyBorder="1" applyAlignment="1">
      <alignment horizontal="right" vertical="center"/>
    </xf>
    <xf numFmtId="0" fontId="43" fillId="9" borderId="15" xfId="1911" applyFont="1" applyFill="1" applyBorder="1" applyAlignment="1">
      <alignment horizontal="center" vertical="center" wrapText="1"/>
    </xf>
    <xf numFmtId="0" fontId="43" fillId="9" borderId="12" xfId="1911" applyFont="1" applyFill="1" applyBorder="1" applyAlignment="1">
      <alignment horizontal="center" vertical="center" wrapText="1"/>
    </xf>
    <xf numFmtId="0" fontId="43" fillId="9" borderId="17" xfId="1911" applyFont="1" applyFill="1" applyBorder="1" applyAlignment="1">
      <alignment horizontal="center" vertical="center" wrapText="1"/>
    </xf>
    <xf numFmtId="0" fontId="43" fillId="9" borderId="18" xfId="1911" applyFont="1" applyFill="1" applyBorder="1" applyAlignment="1">
      <alignment horizontal="center" vertical="center" wrapText="1"/>
    </xf>
    <xf numFmtId="0" fontId="23" fillId="0" borderId="0" xfId="1911" applyFont="1"/>
    <xf numFmtId="0" fontId="23" fillId="0" borderId="0" xfId="0" applyFont="1" applyAlignment="1">
      <alignment wrapText="1"/>
    </xf>
    <xf numFmtId="0" fontId="23" fillId="0" borderId="0" xfId="0" applyFont="1" applyAlignment="1">
      <alignment horizontal="right"/>
    </xf>
    <xf numFmtId="2" fontId="14" fillId="0" borderId="0" xfId="1920" applyNumberFormat="1" applyFont="1" applyBorder="1" applyAlignment="1">
      <alignment horizontal="center"/>
    </xf>
    <xf numFmtId="0" fontId="43" fillId="0" borderId="0" xfId="0" applyFont="1" applyAlignment="1">
      <alignment horizontal="right"/>
    </xf>
    <xf numFmtId="0" fontId="43" fillId="9" borderId="15" xfId="0" applyFont="1" applyFill="1" applyBorder="1" applyAlignment="1">
      <alignment vertical="center" wrapText="1"/>
    </xf>
    <xf numFmtId="0" fontId="43" fillId="9" borderId="12" xfId="0" applyFont="1" applyFill="1" applyBorder="1" applyAlignment="1">
      <alignment vertical="center" wrapText="1"/>
    </xf>
    <xf numFmtId="0" fontId="23" fillId="0" borderId="22" xfId="0" applyFont="1" applyBorder="1"/>
    <xf numFmtId="0" fontId="23" fillId="0" borderId="11" xfId="0" applyFont="1" applyBorder="1"/>
    <xf numFmtId="0" fontId="43" fillId="0" borderId="14" xfId="0" applyFont="1" applyBorder="1" applyAlignment="1">
      <alignment vertical="center" wrapText="1"/>
    </xf>
    <xf numFmtId="0" fontId="23" fillId="0" borderId="14" xfId="0" applyFont="1" applyBorder="1"/>
    <xf numFmtId="0" fontId="14" fillId="0" borderId="0" xfId="0" applyFont="1" applyBorder="1" applyAlignment="1"/>
    <xf numFmtId="0" fontId="14" fillId="0" borderId="20" xfId="0" applyFont="1" applyBorder="1" applyAlignment="1"/>
    <xf numFmtId="49" fontId="23" fillId="0" borderId="9" xfId="0" applyNumberFormat="1" applyFont="1" applyBorder="1" applyAlignment="1">
      <alignment horizontal="center" vertical="center"/>
    </xf>
    <xf numFmtId="0" fontId="23" fillId="0" borderId="21" xfId="0" applyFont="1" applyBorder="1"/>
    <xf numFmtId="0" fontId="23" fillId="0" borderId="0" xfId="1923" applyFont="1"/>
    <xf numFmtId="0" fontId="14" fillId="0" borderId="0" xfId="1923" applyFont="1"/>
    <xf numFmtId="0" fontId="14" fillId="0" borderId="0" xfId="1910" applyFont="1" applyAlignment="1">
      <alignment horizontal="center"/>
    </xf>
    <xf numFmtId="0" fontId="10" fillId="0" borderId="0" xfId="1910" applyFont="1"/>
    <xf numFmtId="0" fontId="11" fillId="0" borderId="4" xfId="1910" applyFont="1" applyFill="1" applyBorder="1" applyAlignment="1"/>
    <xf numFmtId="0" fontId="13" fillId="0" borderId="4" xfId="1910" applyFont="1" applyFill="1" applyBorder="1" applyAlignment="1">
      <alignment horizontal="right"/>
    </xf>
    <xf numFmtId="0" fontId="43" fillId="9" borderId="23" xfId="1910" applyFont="1" applyFill="1" applyBorder="1" applyAlignment="1">
      <alignment horizontal="center" vertical="center" wrapText="1"/>
    </xf>
    <xf numFmtId="0" fontId="43" fillId="9" borderId="24" xfId="1910" applyFont="1" applyFill="1" applyBorder="1" applyAlignment="1">
      <alignment horizontal="center" vertical="center" wrapText="1"/>
    </xf>
    <xf numFmtId="0" fontId="43" fillId="9" borderId="25" xfId="1910" applyFont="1" applyFill="1" applyBorder="1" applyAlignment="1">
      <alignment horizontal="center" vertical="center" wrapText="1"/>
    </xf>
    <xf numFmtId="0" fontId="11" fillId="9" borderId="9" xfId="1910" applyFont="1" applyFill="1" applyBorder="1" applyAlignment="1">
      <alignment horizontal="center"/>
    </xf>
    <xf numFmtId="0" fontId="11" fillId="9" borderId="1" xfId="1910" applyFont="1" applyFill="1" applyBorder="1" applyAlignment="1">
      <alignment horizontal="center"/>
    </xf>
    <xf numFmtId="0" fontId="11" fillId="9" borderId="10" xfId="1910" applyFont="1" applyFill="1" applyBorder="1" applyAlignment="1">
      <alignment horizontal="center"/>
    </xf>
    <xf numFmtId="0" fontId="54" fillId="0" borderId="9" xfId="1910" applyFont="1" applyFill="1" applyBorder="1" applyAlignment="1">
      <alignment horizontal="center"/>
    </xf>
    <xf numFmtId="173" fontId="54" fillId="0" borderId="1" xfId="1910" applyNumberFormat="1" applyFont="1" applyFill="1" applyBorder="1" applyAlignment="1">
      <alignment wrapText="1"/>
    </xf>
    <xf numFmtId="0" fontId="54" fillId="0" borderId="1" xfId="1910" applyFont="1" applyFill="1" applyBorder="1" applyAlignment="1">
      <alignment horizontal="center"/>
    </xf>
    <xf numFmtId="174" fontId="54" fillId="0" borderId="1" xfId="1910" applyNumberFormat="1" applyFont="1" applyFill="1" applyBorder="1" applyAlignment="1">
      <alignment horizontal="center"/>
    </xf>
    <xf numFmtId="174" fontId="54" fillId="0" borderId="10" xfId="1910" applyNumberFormat="1" applyFont="1" applyFill="1" applyBorder="1" applyAlignment="1">
      <alignment horizontal="center"/>
    </xf>
    <xf numFmtId="0" fontId="54" fillId="0" borderId="0" xfId="1910" applyFont="1"/>
    <xf numFmtId="174" fontId="54" fillId="0" borderId="0" xfId="1910" applyNumberFormat="1" applyFont="1"/>
    <xf numFmtId="0" fontId="55" fillId="0" borderId="0" xfId="1910" applyFont="1"/>
    <xf numFmtId="0" fontId="10" fillId="0" borderId="0" xfId="1910" applyFont="1" applyAlignment="1">
      <alignment horizontal="center"/>
    </xf>
    <xf numFmtId="0" fontId="23" fillId="0" borderId="0" xfId="1923" applyFont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vertical="center" wrapText="1"/>
    </xf>
    <xf numFmtId="49" fontId="23" fillId="0" borderId="9" xfId="0" applyNumberFormat="1" applyFont="1" applyBorder="1" applyAlignment="1">
      <alignment horizontal="center" vertical="top"/>
    </xf>
    <xf numFmtId="49" fontId="23" fillId="0" borderId="11" xfId="0" applyNumberFormat="1" applyFont="1" applyBorder="1" applyAlignment="1">
      <alignment horizontal="center"/>
    </xf>
    <xf numFmtId="0" fontId="43" fillId="0" borderId="14" xfId="0" applyFont="1" applyBorder="1"/>
    <xf numFmtId="0" fontId="23" fillId="0" borderId="1" xfId="0" applyFont="1" applyFill="1" applyBorder="1" applyAlignment="1">
      <alignment vertical="center" wrapText="1"/>
    </xf>
    <xf numFmtId="49" fontId="14" fillId="0" borderId="9" xfId="0" applyNumberFormat="1" applyFont="1" applyBorder="1" applyAlignment="1">
      <alignment vertical="top"/>
    </xf>
    <xf numFmtId="0" fontId="14" fillId="0" borderId="1" xfId="0" applyFont="1" applyFill="1" applyBorder="1" applyAlignment="1">
      <alignment vertical="top" wrapText="1"/>
    </xf>
    <xf numFmtId="49" fontId="23" fillId="0" borderId="22" xfId="0" applyNumberFormat="1" applyFont="1" applyBorder="1"/>
    <xf numFmtId="0" fontId="43" fillId="0" borderId="16" xfId="0" applyFont="1" applyFill="1" applyBorder="1" applyAlignment="1">
      <alignment vertical="center" wrapText="1"/>
    </xf>
    <xf numFmtId="0" fontId="23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23" fillId="0" borderId="26" xfId="0" applyFont="1" applyBorder="1" applyAlignment="1">
      <alignment horizontal="center"/>
    </xf>
    <xf numFmtId="49" fontId="23" fillId="0" borderId="22" xfId="0" applyNumberFormat="1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3" fillId="0" borderId="29" xfId="0" applyFont="1" applyBorder="1"/>
    <xf numFmtId="0" fontId="43" fillId="0" borderId="3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3" fontId="29" fillId="0" borderId="1" xfId="1916" applyNumberFormat="1" applyFont="1" applyBorder="1" applyAlignment="1" applyProtection="1">
      <alignment horizontal="center" vertical="top"/>
    </xf>
    <xf numFmtId="170" fontId="29" fillId="0" borderId="1" xfId="1916" applyNumberFormat="1" applyFont="1" applyBorder="1" applyAlignment="1" applyProtection="1">
      <alignment horizontal="center" vertical="top"/>
    </xf>
    <xf numFmtId="4" fontId="29" fillId="0" borderId="1" xfId="1916" applyNumberFormat="1" applyFont="1" applyBorder="1" applyAlignment="1" applyProtection="1">
      <alignment horizontal="center" vertical="top"/>
    </xf>
    <xf numFmtId="0" fontId="29" fillId="0" borderId="1" xfId="1916" applyFont="1" applyBorder="1" applyAlignment="1">
      <alignment horizontal="center" vertical="top"/>
    </xf>
    <xf numFmtId="4" fontId="29" fillId="0" borderId="1" xfId="1916" applyNumberFormat="1" applyFont="1" applyBorder="1" applyAlignment="1">
      <alignment horizontal="center" vertical="top"/>
    </xf>
    <xf numFmtId="3" fontId="29" fillId="0" borderId="1" xfId="1916" applyNumberFormat="1" applyFont="1" applyBorder="1" applyAlignment="1">
      <alignment horizontal="center" vertical="top"/>
    </xf>
    <xf numFmtId="0" fontId="29" fillId="0" borderId="1" xfId="1916" applyFont="1" applyBorder="1" applyAlignment="1">
      <alignment horizontal="left" vertical="top"/>
    </xf>
    <xf numFmtId="0" fontId="23" fillId="0" borderId="1" xfId="830" applyFont="1" applyBorder="1"/>
    <xf numFmtId="3" fontId="32" fillId="0" borderId="1" xfId="1916" applyNumberFormat="1" applyFont="1" applyBorder="1" applyAlignment="1">
      <alignment horizontal="center" vertical="center"/>
    </xf>
    <xf numFmtId="0" fontId="32" fillId="0" borderId="1" xfId="1916" applyFont="1" applyBorder="1" applyAlignment="1">
      <alignment horizontal="center" vertical="center"/>
    </xf>
    <xf numFmtId="4" fontId="32" fillId="0" borderId="1" xfId="1916" applyNumberFormat="1" applyFont="1" applyBorder="1" applyAlignment="1" applyProtection="1">
      <alignment horizontal="center" vertical="center"/>
      <protection locked="0"/>
    </xf>
    <xf numFmtId="0" fontId="32" fillId="0" borderId="14" xfId="1916" applyFont="1" applyBorder="1" applyAlignment="1" applyProtection="1">
      <alignment horizontal="left" vertical="center"/>
      <protection locked="0"/>
    </xf>
    <xf numFmtId="3" fontId="32" fillId="0" borderId="14" xfId="1916" applyNumberFormat="1" applyFont="1" applyBorder="1" applyAlignment="1">
      <alignment horizontal="center" vertical="center"/>
    </xf>
    <xf numFmtId="0" fontId="32" fillId="0" borderId="14" xfId="1916" applyFont="1" applyBorder="1" applyAlignment="1">
      <alignment horizontal="center" vertical="center"/>
    </xf>
    <xf numFmtId="4" fontId="32" fillId="0" borderId="14" xfId="1916" applyNumberFormat="1" applyFont="1" applyBorder="1" applyAlignment="1" applyProtection="1">
      <alignment horizontal="center" vertical="center"/>
      <protection locked="0"/>
    </xf>
    <xf numFmtId="168" fontId="23" fillId="0" borderId="1" xfId="0" applyNumberFormat="1" applyFont="1" applyBorder="1" applyAlignment="1">
      <alignment horizontal="center" vertical="top"/>
    </xf>
    <xf numFmtId="4" fontId="47" fillId="0" borderId="1" xfId="1925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7" fillId="0" borderId="1" xfId="1925" applyFont="1" applyBorder="1" applyAlignment="1">
      <alignment horizontal="left" vertical="center" wrapText="1"/>
    </xf>
    <xf numFmtId="0" fontId="4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47" fillId="0" borderId="1" xfId="1925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horizontal="center" vertical="top"/>
    </xf>
    <xf numFmtId="0" fontId="10" fillId="0" borderId="1" xfId="0" applyFont="1" applyBorder="1"/>
    <xf numFmtId="0" fontId="23" fillId="0" borderId="1" xfId="0" applyFont="1" applyBorder="1" applyAlignment="1">
      <alignment vertical="top" wrapText="1"/>
    </xf>
    <xf numFmtId="0" fontId="32" fillId="0" borderId="11" xfId="1916" applyFont="1" applyBorder="1" applyAlignment="1">
      <alignment horizontal="center" vertical="center"/>
    </xf>
    <xf numFmtId="0" fontId="14" fillId="0" borderId="20" xfId="0" applyFont="1" applyBorder="1" applyAlignment="1">
      <alignment horizontal="center" wrapText="1"/>
    </xf>
    <xf numFmtId="0" fontId="14" fillId="0" borderId="0" xfId="0" applyFont="1" applyBorder="1"/>
    <xf numFmtId="4" fontId="29" fillId="0" borderId="10" xfId="1916" applyNumberFormat="1" applyFont="1" applyBorder="1" applyAlignment="1" applyProtection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0" fontId="23" fillId="0" borderId="1" xfId="1919" applyFont="1" applyFill="1" applyBorder="1" applyAlignment="1">
      <alignment vertical="center"/>
    </xf>
    <xf numFmtId="2" fontId="23" fillId="0" borderId="1" xfId="1919" applyNumberFormat="1" applyFont="1" applyFill="1" applyBorder="1" applyAlignment="1">
      <alignment horizontal="left" vertical="center" wrapText="1"/>
    </xf>
    <xf numFmtId="4" fontId="23" fillId="0" borderId="0" xfId="0" applyNumberFormat="1" applyFont="1"/>
    <xf numFmtId="4" fontId="23" fillId="0" borderId="10" xfId="1946" applyNumberFormat="1" applyFont="1" applyBorder="1" applyAlignment="1">
      <alignment horizontal="center" vertical="center"/>
    </xf>
    <xf numFmtId="4" fontId="4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/>
    <xf numFmtId="4" fontId="10" fillId="0" borderId="10" xfId="1946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/>
    </xf>
    <xf numFmtId="4" fontId="23" fillId="0" borderId="0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horizontal="center"/>
    </xf>
    <xf numFmtId="172" fontId="23" fillId="0" borderId="1" xfId="1946" applyNumberFormat="1" applyFont="1" applyBorder="1" applyAlignment="1">
      <alignment horizontal="center" vertical="top"/>
    </xf>
    <xf numFmtId="4" fontId="14" fillId="0" borderId="10" xfId="0" applyNumberFormat="1" applyFont="1" applyBorder="1" applyAlignment="1">
      <alignment horizontal="center"/>
    </xf>
    <xf numFmtId="4" fontId="14" fillId="9" borderId="10" xfId="0" applyNumberFormat="1" applyFont="1" applyFill="1" applyBorder="1" applyAlignment="1">
      <alignment horizontal="center"/>
    </xf>
    <xf numFmtId="4" fontId="14" fillId="9" borderId="21" xfId="0" applyNumberFormat="1" applyFont="1" applyFill="1" applyBorder="1" applyAlignment="1">
      <alignment horizontal="center"/>
    </xf>
    <xf numFmtId="4" fontId="23" fillId="0" borderId="1" xfId="0" applyNumberFormat="1" applyFont="1" applyBorder="1" applyAlignment="1">
      <alignment horizontal="center"/>
    </xf>
    <xf numFmtId="167" fontId="14" fillId="0" borderId="10" xfId="0" applyNumberFormat="1" applyFont="1" applyBorder="1"/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/>
    </xf>
    <xf numFmtId="4" fontId="23" fillId="0" borderId="1" xfId="0" applyNumberFormat="1" applyFont="1" applyBorder="1" applyAlignment="1">
      <alignment horizontal="center" vertical="top"/>
    </xf>
    <xf numFmtId="172" fontId="23" fillId="0" borderId="10" xfId="1946" applyNumberFormat="1" applyFont="1" applyBorder="1" applyAlignment="1">
      <alignment horizontal="center" vertical="top"/>
    </xf>
    <xf numFmtId="17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/>
    <xf numFmtId="4" fontId="23" fillId="0" borderId="1" xfId="1946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23" fillId="0" borderId="10" xfId="0" applyNumberFormat="1" applyFont="1" applyFill="1" applyBorder="1" applyAlignment="1">
      <alignment horizontal="center" vertical="top"/>
    </xf>
    <xf numFmtId="4" fontId="23" fillId="0" borderId="10" xfId="0" applyNumberFormat="1" applyFont="1" applyBorder="1" applyAlignment="1">
      <alignment horizontal="center" vertical="top" wrapText="1"/>
    </xf>
    <xf numFmtId="2" fontId="23" fillId="0" borderId="9" xfId="0" applyNumberFormat="1" applyFont="1" applyBorder="1" applyAlignment="1">
      <alignment horizontal="center" vertical="center"/>
    </xf>
    <xf numFmtId="2" fontId="47" fillId="0" borderId="1" xfId="1925" applyNumberFormat="1" applyFont="1" applyBorder="1" applyAlignment="1">
      <alignment horizontal="left" vertical="center" wrapText="1"/>
    </xf>
    <xf numFmtId="2" fontId="47" fillId="0" borderId="1" xfId="1925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4" fontId="23" fillId="0" borderId="1" xfId="0" applyNumberFormat="1" applyFont="1" applyBorder="1"/>
    <xf numFmtId="0" fontId="23" fillId="0" borderId="1" xfId="0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/>
    </xf>
    <xf numFmtId="4" fontId="47" fillId="0" borderId="10" xfId="1925" applyNumberFormat="1" applyFont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/>
    </xf>
    <xf numFmtId="0" fontId="47" fillId="0" borderId="9" xfId="1925" applyFont="1" applyBorder="1" applyAlignment="1">
      <alignment horizontal="center" vertical="center" wrapText="1"/>
    </xf>
    <xf numFmtId="0" fontId="47" fillId="0" borderId="9" xfId="1925" applyFont="1" applyBorder="1" applyAlignment="1">
      <alignment horizontal="center" vertical="center"/>
    </xf>
    <xf numFmtId="0" fontId="48" fillId="0" borderId="1" xfId="1925" applyFont="1" applyBorder="1" applyAlignment="1">
      <alignment horizontal="right" vertical="center"/>
    </xf>
    <xf numFmtId="0" fontId="48" fillId="0" borderId="1" xfId="1925" applyFont="1" applyBorder="1" applyAlignment="1">
      <alignment horizontal="center" vertical="center"/>
    </xf>
    <xf numFmtId="4" fontId="48" fillId="0" borderId="1" xfId="1925" applyNumberFormat="1" applyFont="1" applyBorder="1" applyAlignment="1">
      <alignment horizontal="center" vertical="center"/>
    </xf>
    <xf numFmtId="4" fontId="48" fillId="0" borderId="10" xfId="1925" applyNumberFormat="1" applyFont="1" applyBorder="1" applyAlignment="1">
      <alignment horizontal="center" vertical="center"/>
    </xf>
    <xf numFmtId="4" fontId="48" fillId="0" borderId="21" xfId="1925" applyNumberFormat="1" applyFont="1" applyBorder="1" applyAlignment="1">
      <alignment horizontal="center" vertical="center"/>
    </xf>
    <xf numFmtId="3" fontId="48" fillId="0" borderId="1" xfId="1925" applyNumberFormat="1" applyFont="1" applyBorder="1" applyAlignment="1">
      <alignment horizontal="center" vertical="center"/>
    </xf>
    <xf numFmtId="3" fontId="48" fillId="0" borderId="1" xfId="1924" applyNumberFormat="1" applyFont="1" applyBorder="1" applyAlignment="1">
      <alignment horizontal="center" vertical="center"/>
    </xf>
    <xf numFmtId="0" fontId="23" fillId="0" borderId="9" xfId="861" applyFont="1" applyFill="1" applyBorder="1" applyAlignment="1">
      <alignment horizontal="center" vertical="center"/>
    </xf>
    <xf numFmtId="0" fontId="23" fillId="0" borderId="1" xfId="1912" applyFont="1" applyFill="1" applyBorder="1" applyAlignment="1">
      <alignment horizontal="center" vertical="center" wrapText="1"/>
    </xf>
    <xf numFmtId="3" fontId="23" fillId="0" borderId="1" xfId="1912" applyNumberFormat="1" applyFont="1" applyFill="1" applyBorder="1" applyAlignment="1">
      <alignment horizontal="center" vertical="center"/>
    </xf>
    <xf numFmtId="3" fontId="23" fillId="0" borderId="1" xfId="1912" applyNumberFormat="1" applyFont="1" applyFill="1" applyBorder="1" applyAlignment="1">
      <alignment horizontal="center" vertical="center" wrapText="1"/>
    </xf>
    <xf numFmtId="0" fontId="23" fillId="0" borderId="1" xfId="1912" applyFont="1" applyFill="1" applyBorder="1" applyAlignment="1">
      <alignment horizontal="center" vertical="center"/>
    </xf>
    <xf numFmtId="0" fontId="23" fillId="0" borderId="1" xfId="1919" applyFont="1" applyFill="1" applyBorder="1" applyAlignment="1">
      <alignment horizontal="center" vertical="center"/>
    </xf>
    <xf numFmtId="0" fontId="14" fillId="0" borderId="1" xfId="1912" applyFont="1" applyFill="1" applyBorder="1" applyAlignment="1">
      <alignment horizontal="left" vertical="center"/>
    </xf>
    <xf numFmtId="0" fontId="43" fillId="0" borderId="1" xfId="1912" applyFont="1" applyFill="1" applyBorder="1" applyAlignment="1">
      <alignment vertical="center"/>
    </xf>
    <xf numFmtId="0" fontId="23" fillId="0" borderId="11" xfId="861" applyFont="1" applyFill="1" applyBorder="1" applyAlignment="1">
      <alignment horizontal="center" vertical="center"/>
    </xf>
    <xf numFmtId="0" fontId="43" fillId="0" borderId="31" xfId="1912" applyFont="1" applyFill="1" applyBorder="1" applyAlignment="1">
      <alignment vertical="center"/>
    </xf>
    <xf numFmtId="0" fontId="14" fillId="0" borderId="14" xfId="1912" applyFont="1" applyFill="1" applyBorder="1" applyAlignment="1">
      <alignment horizontal="center" vertical="center"/>
    </xf>
    <xf numFmtId="3" fontId="23" fillId="0" borderId="14" xfId="1912" applyNumberFormat="1" applyFont="1" applyFill="1" applyBorder="1" applyAlignment="1">
      <alignment horizontal="center" vertical="center"/>
    </xf>
    <xf numFmtId="3" fontId="23" fillId="0" borderId="14" xfId="1912" applyNumberFormat="1" applyFont="1" applyFill="1" applyBorder="1" applyAlignment="1">
      <alignment horizontal="center" vertical="center" wrapText="1"/>
    </xf>
    <xf numFmtId="0" fontId="23" fillId="0" borderId="14" xfId="1912" applyFont="1" applyFill="1" applyBorder="1" applyAlignment="1">
      <alignment horizontal="center" vertical="center"/>
    </xf>
    <xf numFmtId="2" fontId="14" fillId="0" borderId="14" xfId="1912" applyNumberFormat="1" applyFont="1" applyFill="1" applyBorder="1" applyAlignment="1">
      <alignment horizontal="center" vertical="center"/>
    </xf>
    <xf numFmtId="0" fontId="43" fillId="9" borderId="1" xfId="1911" applyFont="1" applyFill="1" applyBorder="1" applyAlignment="1">
      <alignment horizontal="center" vertical="center" wrapText="1"/>
    </xf>
    <xf numFmtId="0" fontId="43" fillId="9" borderId="13" xfId="1911" applyFont="1" applyFill="1" applyBorder="1" applyAlignment="1">
      <alignment horizontal="center" vertical="center" wrapText="1"/>
    </xf>
    <xf numFmtId="0" fontId="43" fillId="9" borderId="9" xfId="1911" applyFont="1" applyFill="1" applyBorder="1" applyAlignment="1">
      <alignment horizontal="center" vertical="center" wrapText="1"/>
    </xf>
    <xf numFmtId="0" fontId="43" fillId="9" borderId="10" xfId="1911" applyFont="1" applyFill="1" applyBorder="1" applyAlignment="1">
      <alignment horizontal="center" vertical="center" wrapText="1"/>
    </xf>
    <xf numFmtId="4" fontId="23" fillId="0" borderId="10" xfId="1912" applyNumberFormat="1" applyFont="1" applyFill="1" applyBorder="1" applyAlignment="1">
      <alignment horizontal="center" vertical="center"/>
    </xf>
    <xf numFmtId="4" fontId="14" fillId="0" borderId="10" xfId="1912" applyNumberFormat="1" applyFont="1" applyFill="1" applyBorder="1" applyAlignment="1">
      <alignment horizontal="center" vertical="center"/>
    </xf>
    <xf numFmtId="0" fontId="43" fillId="0" borderId="14" xfId="1912" applyFont="1" applyFill="1" applyBorder="1" applyAlignment="1">
      <alignment vertical="center"/>
    </xf>
    <xf numFmtId="4" fontId="43" fillId="0" borderId="21" xfId="1912" applyNumberFormat="1" applyFont="1" applyFill="1" applyBorder="1" applyAlignment="1">
      <alignment horizontal="center" vertical="center"/>
    </xf>
    <xf numFmtId="0" fontId="23" fillId="0" borderId="9" xfId="861" applyFont="1" applyFill="1" applyBorder="1" applyAlignment="1">
      <alignment horizontal="center"/>
    </xf>
    <xf numFmtId="0" fontId="23" fillId="0" borderId="9" xfId="861" applyFont="1" applyFill="1" applyBorder="1"/>
    <xf numFmtId="0" fontId="23" fillId="0" borderId="11" xfId="861" applyFont="1" applyFill="1" applyBorder="1"/>
    <xf numFmtId="4" fontId="14" fillId="0" borderId="21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 vertical="center"/>
    </xf>
    <xf numFmtId="0" fontId="23" fillId="0" borderId="9" xfId="1910" applyFont="1" applyFill="1" applyBorder="1" applyAlignment="1">
      <alignment horizontal="center" vertical="top"/>
    </xf>
    <xf numFmtId="0" fontId="23" fillId="0" borderId="1" xfId="1910" applyFont="1" applyFill="1" applyBorder="1" applyAlignment="1">
      <alignment horizontal="center" vertical="top"/>
    </xf>
    <xf numFmtId="169" fontId="14" fillId="0" borderId="1" xfId="1946" applyNumberFormat="1" applyFont="1" applyFill="1" applyBorder="1" applyAlignment="1">
      <alignment horizontal="center" vertical="top"/>
    </xf>
    <xf numFmtId="0" fontId="23" fillId="0" borderId="26" xfId="1910" applyFont="1" applyFill="1" applyBorder="1" applyAlignment="1">
      <alignment horizontal="center" vertical="top"/>
    </xf>
    <xf numFmtId="173" fontId="43" fillId="0" borderId="1" xfId="1910" applyNumberFormat="1" applyFont="1" applyBorder="1" applyAlignment="1">
      <alignment vertical="top" wrapText="1"/>
    </xf>
    <xf numFmtId="0" fontId="23" fillId="0" borderId="1" xfId="1910" applyFont="1" applyBorder="1" applyAlignment="1">
      <alignment horizontal="center" vertical="top"/>
    </xf>
    <xf numFmtId="174" fontId="14" fillId="0" borderId="1" xfId="1910" applyNumberFormat="1" applyFont="1" applyFill="1" applyBorder="1" applyAlignment="1">
      <alignment horizontal="center" vertical="top"/>
    </xf>
    <xf numFmtId="0" fontId="14" fillId="0" borderId="11" xfId="1910" applyFont="1" applyFill="1" applyBorder="1" applyAlignment="1">
      <alignment horizontal="center" vertical="top"/>
    </xf>
    <xf numFmtId="0" fontId="43" fillId="0" borderId="14" xfId="1910" applyFont="1" applyFill="1" applyBorder="1" applyAlignment="1">
      <alignment horizontal="left" vertical="top"/>
    </xf>
    <xf numFmtId="0" fontId="14" fillId="0" borderId="14" xfId="1910" applyFont="1" applyFill="1" applyBorder="1" applyAlignment="1">
      <alignment horizontal="center" vertical="top"/>
    </xf>
    <xf numFmtId="174" fontId="14" fillId="0" borderId="14" xfId="1910" applyNumberFormat="1" applyFont="1" applyFill="1" applyBorder="1" applyAlignment="1">
      <alignment horizontal="center" vertical="top"/>
    </xf>
    <xf numFmtId="0" fontId="14" fillId="0" borderId="0" xfId="1910" applyFont="1" applyAlignment="1"/>
    <xf numFmtId="2" fontId="14" fillId="0" borderId="14" xfId="1910" applyNumberFormat="1" applyFont="1" applyFill="1" applyBorder="1" applyAlignment="1">
      <alignment horizontal="center" vertical="top"/>
    </xf>
    <xf numFmtId="4" fontId="14" fillId="0" borderId="10" xfId="1946" applyNumberFormat="1" applyFont="1" applyFill="1" applyBorder="1" applyAlignment="1">
      <alignment horizontal="center" vertical="top"/>
    </xf>
    <xf numFmtId="4" fontId="14" fillId="0" borderId="10" xfId="1910" applyNumberFormat="1" applyFont="1" applyFill="1" applyBorder="1" applyAlignment="1">
      <alignment horizontal="center" vertical="top"/>
    </xf>
    <xf numFmtId="4" fontId="14" fillId="0" borderId="21" xfId="191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4" fontId="14" fillId="9" borderId="21" xfId="0" applyNumberFormat="1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 wrapText="1"/>
    </xf>
    <xf numFmtId="4" fontId="14" fillId="9" borderId="1" xfId="0" applyNumberFormat="1" applyFont="1" applyFill="1" applyBorder="1" applyAlignment="1">
      <alignment horizontal="center" vertical="center" wrapText="1"/>
    </xf>
    <xf numFmtId="2" fontId="43" fillId="9" borderId="15" xfId="0" applyNumberFormat="1" applyFont="1" applyFill="1" applyBorder="1" applyAlignment="1">
      <alignment horizontal="center" vertical="center" wrapText="1"/>
    </xf>
    <xf numFmtId="1" fontId="23" fillId="0" borderId="9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/>
    <xf numFmtId="0" fontId="14" fillId="0" borderId="10" xfId="0" applyFont="1" applyFill="1" applyBorder="1"/>
    <xf numFmtId="4" fontId="14" fillId="9" borderId="14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23" fillId="2" borderId="10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4" fontId="43" fillId="0" borderId="21" xfId="0" applyNumberFormat="1" applyFont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58" fillId="0" borderId="14" xfId="1924" applyFont="1" applyBorder="1" applyAlignment="1">
      <alignment horizontal="center" vertical="center" wrapText="1"/>
    </xf>
    <xf numFmtId="2" fontId="58" fillId="0" borderId="14" xfId="1924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10" fillId="0" borderId="0" xfId="0" applyFont="1" applyFill="1"/>
    <xf numFmtId="170" fontId="23" fillId="0" borderId="1" xfId="0" applyNumberFormat="1" applyFont="1" applyFill="1" applyBorder="1" applyAlignment="1">
      <alignment horizontal="center" vertical="top"/>
    </xf>
    <xf numFmtId="2" fontId="14" fillId="0" borderId="0" xfId="0" applyNumberFormat="1" applyFont="1" applyFill="1" applyBorder="1" applyAlignment="1">
      <alignment horizontal="center" vertical="center" wrapText="1"/>
    </xf>
    <xf numFmtId="4" fontId="30" fillId="0" borderId="20" xfId="0" applyNumberFormat="1" applyFont="1" applyBorder="1" applyAlignment="1"/>
    <xf numFmtId="4" fontId="26" fillId="0" borderId="0" xfId="0" applyNumberFormat="1" applyFont="1" applyFill="1"/>
    <xf numFmtId="0" fontId="47" fillId="0" borderId="1" xfId="1925" applyFont="1" applyFill="1" applyBorder="1" applyAlignment="1">
      <alignment horizontal="left" vertical="center" wrapText="1"/>
    </xf>
    <xf numFmtId="4" fontId="23" fillId="0" borderId="0" xfId="0" applyNumberFormat="1" applyFont="1" applyFill="1"/>
    <xf numFmtId="4" fontId="10" fillId="0" borderId="0" xfId="0" applyNumberFormat="1" applyFont="1" applyAlignment="1">
      <alignment vertical="center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0" fillId="0" borderId="0" xfId="1916" applyFont="1" applyAlignment="1">
      <alignment horizontal="center"/>
    </xf>
    <xf numFmtId="0" fontId="10" fillId="0" borderId="0" xfId="1916" applyFont="1"/>
    <xf numFmtId="0" fontId="13" fillId="9" borderId="1" xfId="0" applyFont="1" applyFill="1" applyBorder="1" applyAlignment="1">
      <alignment horizontal="center" vertical="top" wrapText="1"/>
    </xf>
    <xf numFmtId="0" fontId="13" fillId="9" borderId="9" xfId="0" applyFont="1" applyFill="1" applyBorder="1" applyAlignment="1">
      <alignment horizontal="center" vertical="top" wrapText="1"/>
    </xf>
    <xf numFmtId="0" fontId="13" fillId="9" borderId="10" xfId="0" applyFont="1" applyFill="1" applyBorder="1" applyAlignment="1">
      <alignment horizontal="center" vertical="top" wrapText="1"/>
    </xf>
    <xf numFmtId="4" fontId="14" fillId="0" borderId="10" xfId="0" applyNumberFormat="1" applyFont="1" applyBorder="1" applyAlignment="1">
      <alignment horizontal="center" wrapText="1"/>
    </xf>
    <xf numFmtId="4" fontId="14" fillId="0" borderId="32" xfId="0" applyNumberFormat="1" applyFont="1" applyBorder="1" applyAlignment="1">
      <alignment horizontal="center" wrapText="1"/>
    </xf>
    <xf numFmtId="2" fontId="23" fillId="0" borderId="1" xfId="0" applyNumberFormat="1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top"/>
    </xf>
    <xf numFmtId="0" fontId="29" fillId="0" borderId="1" xfId="1916" applyFont="1" applyFill="1" applyBorder="1" applyAlignment="1">
      <alignment horizontal="left" vertical="top"/>
    </xf>
    <xf numFmtId="0" fontId="23" fillId="0" borderId="0" xfId="0" applyFont="1" applyBorder="1" applyAlignment="1">
      <alignment vertical="top"/>
    </xf>
    <xf numFmtId="0" fontId="14" fillId="0" borderId="0" xfId="0" applyFont="1" applyBorder="1" applyAlignment="1">
      <alignment wrapText="1"/>
    </xf>
    <xf numFmtId="0" fontId="23" fillId="0" borderId="0" xfId="0" applyFont="1" applyBorder="1" applyAlignment="1">
      <alignment horizontal="right" vertical="top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4" fontId="2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60" fillId="0" borderId="0" xfId="830" applyFont="1"/>
    <xf numFmtId="0" fontId="14" fillId="0" borderId="9" xfId="832" applyFont="1" applyBorder="1" applyAlignment="1">
      <alignment horizontal="center" vertical="center" wrapText="1"/>
    </xf>
    <xf numFmtId="0" fontId="11" fillId="0" borderId="9" xfId="832" applyFont="1" applyBorder="1" applyAlignment="1">
      <alignment horizontal="center" vertical="center" wrapText="1"/>
    </xf>
    <xf numFmtId="0" fontId="64" fillId="0" borderId="0" xfId="830" applyFont="1"/>
    <xf numFmtId="0" fontId="10" fillId="0" borderId="1" xfId="1914" applyFont="1" applyFill="1" applyBorder="1" applyAlignment="1">
      <alignment horizontal="center" vertical="center" wrapText="1"/>
    </xf>
    <xf numFmtId="0" fontId="16" fillId="0" borderId="0" xfId="830" applyFont="1"/>
    <xf numFmtId="3" fontId="10" fillId="0" borderId="1" xfId="1946" applyNumberFormat="1" applyFont="1" applyFill="1" applyBorder="1" applyAlignment="1">
      <alignment horizontal="center" vertical="center" wrapText="1"/>
    </xf>
    <xf numFmtId="0" fontId="66" fillId="0" borderId="0" xfId="832" applyFont="1" applyFill="1" applyBorder="1" applyAlignment="1">
      <alignment horizontal="center" vertical="center" wrapText="1"/>
    </xf>
    <xf numFmtId="0" fontId="66" fillId="0" borderId="0" xfId="832" applyFont="1" applyFill="1" applyBorder="1" applyAlignment="1">
      <alignment horizontal="left" vertical="center" wrapText="1"/>
    </xf>
    <xf numFmtId="3" fontId="66" fillId="0" borderId="0" xfId="1946" applyNumberFormat="1" applyFont="1" applyFill="1" applyBorder="1" applyAlignment="1">
      <alignment horizontal="center" vertical="center" wrapText="1"/>
    </xf>
    <xf numFmtId="3" fontId="39" fillId="0" borderId="0" xfId="832" applyNumberFormat="1" applyFont="1" applyFill="1" applyBorder="1" applyAlignment="1">
      <alignment horizontal="center" vertical="center" wrapText="1"/>
    </xf>
    <xf numFmtId="0" fontId="14" fillId="0" borderId="0" xfId="861" applyFont="1" applyAlignment="1">
      <alignment horizontal="left" vertical="center" wrapText="1"/>
    </xf>
    <xf numFmtId="0" fontId="15" fillId="0" borderId="0" xfId="861"/>
    <xf numFmtId="0" fontId="68" fillId="0" borderId="33" xfId="861" applyFont="1" applyBorder="1" applyAlignment="1">
      <alignment horizontal="center"/>
    </xf>
    <xf numFmtId="0" fontId="19" fillId="0" borderId="0" xfId="1916" applyFont="1" applyAlignment="1">
      <alignment horizontal="center"/>
    </xf>
    <xf numFmtId="3" fontId="19" fillId="0" borderId="0" xfId="1916" applyNumberFormat="1" applyFont="1" applyAlignment="1">
      <alignment horizontal="center"/>
    </xf>
    <xf numFmtId="0" fontId="19" fillId="0" borderId="0" xfId="1916" applyFont="1"/>
    <xf numFmtId="0" fontId="69" fillId="0" borderId="0" xfId="1916" applyFont="1" applyAlignment="1">
      <alignment horizontal="center"/>
    </xf>
    <xf numFmtId="4" fontId="69" fillId="0" borderId="0" xfId="1916" applyNumberFormat="1" applyFont="1" applyAlignment="1">
      <alignment horizontal="center"/>
    </xf>
    <xf numFmtId="3" fontId="69" fillId="0" borderId="0" xfId="1916" applyNumberFormat="1" applyFont="1" applyAlignment="1">
      <alignment horizontal="center"/>
    </xf>
    <xf numFmtId="0" fontId="37" fillId="0" borderId="0" xfId="0" applyFont="1" applyAlignment="1">
      <alignment horizontal="right"/>
    </xf>
    <xf numFmtId="4" fontId="29" fillId="0" borderId="10" xfId="1916" applyNumberFormat="1" applyFont="1" applyFill="1" applyBorder="1" applyAlignment="1" applyProtection="1">
      <alignment horizontal="center" vertical="top"/>
    </xf>
    <xf numFmtId="0" fontId="10" fillId="0" borderId="0" xfId="1915" applyFont="1" applyFill="1" applyAlignment="1">
      <alignment vertical="center"/>
    </xf>
    <xf numFmtId="0" fontId="66" fillId="0" borderId="0" xfId="1915" applyFont="1" applyAlignment="1">
      <alignment vertical="center"/>
    </xf>
    <xf numFmtId="0" fontId="70" fillId="0" borderId="0" xfId="830" applyFont="1"/>
    <xf numFmtId="0" fontId="10" fillId="0" borderId="0" xfId="1915" applyFont="1" applyFill="1"/>
    <xf numFmtId="0" fontId="14" fillId="0" borderId="1" xfId="0" applyFont="1" applyFill="1" applyBorder="1"/>
    <xf numFmtId="4" fontId="14" fillId="0" borderId="10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49" fontId="23" fillId="0" borderId="9" xfId="0" applyNumberFormat="1" applyFont="1" applyFill="1" applyBorder="1" applyAlignment="1">
      <alignment horizontal="center"/>
    </xf>
    <xf numFmtId="0" fontId="43" fillId="0" borderId="1" xfId="0" applyFont="1" applyFill="1" applyBorder="1"/>
    <xf numFmtId="0" fontId="23" fillId="0" borderId="1" xfId="0" applyFont="1" applyFill="1" applyBorder="1"/>
    <xf numFmtId="167" fontId="43" fillId="0" borderId="10" xfId="0" applyNumberFormat="1" applyFont="1" applyFill="1" applyBorder="1" applyAlignment="1">
      <alignment vertical="top"/>
    </xf>
    <xf numFmtId="0" fontId="47" fillId="0" borderId="0" xfId="1925" applyFont="1" applyAlignment="1">
      <alignment horizontal="center" vertical="center"/>
    </xf>
    <xf numFmtId="167" fontId="47" fillId="0" borderId="0" xfId="1925" applyNumberFormat="1" applyFont="1" applyAlignment="1">
      <alignment horizontal="center" vertical="center"/>
    </xf>
    <xf numFmtId="0" fontId="48" fillId="0" borderId="0" xfId="1925" applyFont="1" applyAlignment="1">
      <alignment horizontal="center" vertical="center"/>
    </xf>
    <xf numFmtId="167" fontId="48" fillId="0" borderId="0" xfId="1925" applyNumberFormat="1" applyFont="1" applyAlignment="1">
      <alignment horizontal="center" vertical="center"/>
    </xf>
    <xf numFmtId="0" fontId="23" fillId="0" borderId="0" xfId="861" applyFont="1" applyFill="1"/>
    <xf numFmtId="0" fontId="23" fillId="0" borderId="0" xfId="861" applyFont="1" applyFill="1" applyAlignment="1">
      <alignment horizontal="center"/>
    </xf>
    <xf numFmtId="0" fontId="67" fillId="0" borderId="0" xfId="0" applyFont="1" applyAlignment="1">
      <alignment horizontal="right"/>
    </xf>
    <xf numFmtId="167" fontId="67" fillId="0" borderId="0" xfId="1946" applyFont="1" applyAlignment="1">
      <alignment horizontal="right"/>
    </xf>
    <xf numFmtId="167" fontId="23" fillId="0" borderId="0" xfId="1946" applyFont="1"/>
    <xf numFmtId="4" fontId="23" fillId="0" borderId="1" xfId="0" applyNumberFormat="1" applyFont="1" applyFill="1" applyBorder="1" applyAlignment="1">
      <alignment horizontal="center"/>
    </xf>
    <xf numFmtId="0" fontId="30" fillId="0" borderId="0" xfId="0" applyFont="1" applyBorder="1" applyAlignment="1">
      <alignment vertical="top"/>
    </xf>
    <xf numFmtId="4" fontId="10" fillId="0" borderId="1" xfId="832" applyNumberFormat="1" applyFont="1" applyFill="1" applyBorder="1" applyAlignment="1">
      <alignment horizontal="center" vertical="center" wrapText="1"/>
    </xf>
    <xf numFmtId="4" fontId="10" fillId="0" borderId="1" xfId="1946" applyNumberFormat="1" applyFont="1" applyFill="1" applyBorder="1" applyAlignment="1">
      <alignment horizontal="center" vertical="center" wrapText="1"/>
    </xf>
    <xf numFmtId="4" fontId="66" fillId="0" borderId="1" xfId="832" applyNumberFormat="1" applyFont="1" applyFill="1" applyBorder="1" applyAlignment="1">
      <alignment horizontal="center" vertical="center" wrapText="1"/>
    </xf>
    <xf numFmtId="4" fontId="66" fillId="0" borderId="1" xfId="1946" applyNumberFormat="1" applyFont="1" applyFill="1" applyBorder="1" applyAlignment="1">
      <alignment horizontal="center" vertical="center" wrapText="1"/>
    </xf>
    <xf numFmtId="4" fontId="11" fillId="0" borderId="1" xfId="832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/>
    </xf>
    <xf numFmtId="4" fontId="14" fillId="2" borderId="10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top"/>
    </xf>
    <xf numFmtId="0" fontId="29" fillId="0" borderId="16" xfId="1916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 wrapText="1"/>
    </xf>
    <xf numFmtId="0" fontId="23" fillId="0" borderId="16" xfId="83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 wrapText="1"/>
    </xf>
    <xf numFmtId="167" fontId="23" fillId="0" borderId="10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vertical="center" wrapText="1"/>
    </xf>
    <xf numFmtId="4" fontId="43" fillId="2" borderId="10" xfId="0" applyNumberFormat="1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2" borderId="10" xfId="0" applyNumberFormat="1" applyFont="1" applyFill="1" applyBorder="1" applyAlignment="1">
      <alignment horizontal="center" vertical="center"/>
    </xf>
    <xf numFmtId="168" fontId="23" fillId="0" borderId="1" xfId="0" applyNumberFormat="1" applyFont="1" applyFill="1" applyBorder="1" applyAlignment="1">
      <alignment horizontal="center" vertical="top"/>
    </xf>
    <xf numFmtId="4" fontId="23" fillId="0" borderId="10" xfId="0" applyNumberFormat="1" applyFont="1" applyFill="1" applyBorder="1" applyAlignment="1">
      <alignment horizontal="center" vertical="top" wrapText="1"/>
    </xf>
    <xf numFmtId="0" fontId="23" fillId="0" borderId="16" xfId="830" applyFont="1" applyBorder="1" applyAlignment="1">
      <alignment horizontal="left" vertical="center"/>
    </xf>
    <xf numFmtId="0" fontId="29" fillId="0" borderId="16" xfId="1916" applyFont="1" applyFill="1" applyBorder="1" applyAlignment="1">
      <alignment horizontal="left" vertical="center"/>
    </xf>
    <xf numFmtId="2" fontId="23" fillId="0" borderId="1" xfId="0" applyNumberFormat="1" applyFont="1" applyFill="1" applyBorder="1" applyAlignment="1">
      <alignment horizontal="center" vertical="top"/>
    </xf>
    <xf numFmtId="0" fontId="62" fillId="0" borderId="0" xfId="83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31" fillId="0" borderId="34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left" vertical="center"/>
    </xf>
    <xf numFmtId="0" fontId="21" fillId="0" borderId="0" xfId="0" applyNumberFormat="1" applyFont="1" applyAlignment="1">
      <alignment horizontal="left" vertical="center"/>
    </xf>
    <xf numFmtId="0" fontId="21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21" fillId="0" borderId="35" xfId="0" applyNumberFormat="1" applyFont="1" applyBorder="1" applyAlignment="1">
      <alignment horizontal="center" vertical="center"/>
    </xf>
    <xf numFmtId="0" fontId="22" fillId="0" borderId="0" xfId="0" applyNumberFormat="1" applyFont="1" applyAlignment="1">
      <alignment horizontal="center" vertical="center"/>
    </xf>
    <xf numFmtId="0" fontId="19" fillId="0" borderId="0" xfId="0" applyNumberFormat="1" applyFont="1" applyAlignment="1">
      <alignment horizontal="center" vertical="center"/>
    </xf>
    <xf numFmtId="4" fontId="21" fillId="0" borderId="35" xfId="0" applyNumberFormat="1" applyFont="1" applyBorder="1" applyAlignment="1">
      <alignment horizontal="center" vertical="center"/>
    </xf>
    <xf numFmtId="0" fontId="62" fillId="0" borderId="34" xfId="830" applyFont="1" applyBorder="1" applyAlignment="1">
      <alignment horizontal="center" vertical="center" wrapText="1"/>
    </xf>
    <xf numFmtId="0" fontId="10" fillId="0" borderId="0" xfId="1916" applyFont="1" applyAlignment="1">
      <alignment horizontal="center" vertical="center"/>
    </xf>
    <xf numFmtId="0" fontId="41" fillId="0" borderId="0" xfId="1916" applyFont="1" applyAlignment="1">
      <alignment horizontal="center" vertical="center"/>
    </xf>
    <xf numFmtId="0" fontId="41" fillId="0" borderId="0" xfId="1916" applyFont="1" applyAlignment="1" applyProtection="1">
      <alignment horizontal="center" vertical="center" wrapText="1"/>
      <protection locked="0"/>
    </xf>
    <xf numFmtId="0" fontId="41" fillId="0" borderId="0" xfId="1916" applyFont="1" applyAlignment="1">
      <alignment horizontal="center" vertical="center" wrapText="1"/>
    </xf>
    <xf numFmtId="3" fontId="41" fillId="0" borderId="0" xfId="1916" applyNumberFormat="1" applyFont="1" applyAlignment="1">
      <alignment horizontal="center" vertical="center" wrapText="1"/>
    </xf>
    <xf numFmtId="3" fontId="41" fillId="0" borderId="0" xfId="1916" applyNumberFormat="1" applyFont="1" applyBorder="1" applyAlignment="1">
      <alignment horizontal="center" vertical="center" wrapText="1"/>
    </xf>
    <xf numFmtId="0" fontId="42" fillId="0" borderId="0" xfId="1916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Border="1" applyAlignment="1">
      <alignment vertical="center" wrapText="1"/>
    </xf>
    <xf numFmtId="0" fontId="46" fillId="0" borderId="0" xfId="0" applyFont="1" applyBorder="1" applyAlignment="1">
      <alignment horizontal="center" vertical="top" wrapText="1"/>
    </xf>
    <xf numFmtId="0" fontId="14" fillId="0" borderId="0" xfId="0" applyFont="1" applyAlignment="1">
      <alignment vertical="center" wrapText="1"/>
    </xf>
    <xf numFmtId="4" fontId="23" fillId="0" borderId="0" xfId="0" applyNumberFormat="1" applyFont="1" applyFill="1" applyAlignment="1">
      <alignment vertical="center"/>
    </xf>
    <xf numFmtId="4" fontId="11" fillId="0" borderId="1" xfId="1946" applyNumberFormat="1" applyFont="1" applyFill="1" applyBorder="1" applyAlignment="1">
      <alignment horizontal="center" vertical="center" wrapText="1"/>
    </xf>
    <xf numFmtId="4" fontId="10" fillId="0" borderId="26" xfId="1946" applyNumberFormat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31" fillId="0" borderId="0" xfId="0" applyFont="1" applyAlignment="1"/>
    <xf numFmtId="0" fontId="31" fillId="0" borderId="36" xfId="0" applyFont="1" applyBorder="1" applyAlignment="1"/>
    <xf numFmtId="171" fontId="29" fillId="0" borderId="1" xfId="1916" applyNumberFormat="1" applyFont="1" applyBorder="1" applyAlignment="1" applyProtection="1">
      <alignment horizontal="center" vertical="top"/>
    </xf>
    <xf numFmtId="0" fontId="14" fillId="0" borderId="1" xfId="830" applyFont="1" applyFill="1" applyBorder="1"/>
    <xf numFmtId="4" fontId="26" fillId="0" borderId="1" xfId="832" applyNumberFormat="1" applyFont="1" applyFill="1" applyBorder="1" applyAlignment="1">
      <alignment horizontal="center" vertical="center" wrapText="1"/>
    </xf>
    <xf numFmtId="4" fontId="14" fillId="0" borderId="1" xfId="832" applyNumberFormat="1" applyFont="1" applyFill="1" applyBorder="1" applyAlignment="1">
      <alignment horizontal="center" vertical="center" wrapText="1"/>
    </xf>
    <xf numFmtId="4" fontId="23" fillId="0" borderId="10" xfId="832" applyNumberFormat="1" applyFont="1" applyBorder="1" applyAlignment="1">
      <alignment horizontal="center"/>
    </xf>
    <xf numFmtId="0" fontId="23" fillId="0" borderId="1" xfId="832" applyFont="1" applyBorder="1" applyAlignment="1">
      <alignment horizontal="center"/>
    </xf>
    <xf numFmtId="0" fontId="23" fillId="0" borderId="1" xfId="832" applyFont="1" applyBorder="1"/>
    <xf numFmtId="0" fontId="10" fillId="0" borderId="0" xfId="832" applyFont="1"/>
    <xf numFmtId="0" fontId="10" fillId="0" borderId="0" xfId="832" applyFont="1" applyFill="1"/>
    <xf numFmtId="0" fontId="11" fillId="0" borderId="0" xfId="832" applyFont="1" applyAlignment="1">
      <alignment horizontal="center" vertical="center" wrapText="1"/>
    </xf>
    <xf numFmtId="170" fontId="11" fillId="0" borderId="0" xfId="832" applyNumberFormat="1" applyFont="1" applyAlignment="1">
      <alignment horizontal="center" vertical="center" wrapText="1"/>
    </xf>
    <xf numFmtId="4" fontId="11" fillId="0" borderId="0" xfId="832" applyNumberFormat="1" applyFont="1" applyAlignment="1">
      <alignment horizontal="center" vertical="center" wrapText="1"/>
    </xf>
    <xf numFmtId="4" fontId="23" fillId="0" borderId="0" xfId="832" applyNumberFormat="1" applyFont="1" applyAlignment="1">
      <alignment horizontal="center"/>
    </xf>
    <xf numFmtId="0" fontId="23" fillId="0" borderId="0" xfId="832" applyFont="1"/>
    <xf numFmtId="0" fontId="23" fillId="0" borderId="4" xfId="832" applyFont="1" applyBorder="1" applyAlignment="1">
      <alignment vertical="center"/>
    </xf>
    <xf numFmtId="170" fontId="23" fillId="0" borderId="4" xfId="832" applyNumberFormat="1" applyFont="1" applyBorder="1" applyAlignment="1">
      <alignment vertical="center"/>
    </xf>
    <xf numFmtId="0" fontId="10" fillId="0" borderId="0" xfId="832" applyFont="1" applyAlignment="1">
      <alignment horizontal="center" vertical="center"/>
    </xf>
    <xf numFmtId="0" fontId="13" fillId="9" borderId="1" xfId="832" applyFont="1" applyFill="1" applyBorder="1" applyAlignment="1">
      <alignment horizontal="center" vertical="center" wrapText="1"/>
    </xf>
    <xf numFmtId="0" fontId="13" fillId="9" borderId="9" xfId="832" applyFont="1" applyFill="1" applyBorder="1" applyAlignment="1">
      <alignment horizontal="center" vertical="center" wrapText="1"/>
    </xf>
    <xf numFmtId="0" fontId="14" fillId="0" borderId="9" xfId="832" applyFont="1" applyBorder="1" applyAlignment="1">
      <alignment horizontal="center"/>
    </xf>
    <xf numFmtId="0" fontId="39" fillId="0" borderId="1" xfId="832" applyFont="1" applyBorder="1" applyAlignment="1">
      <alignment vertical="center" wrapText="1"/>
    </xf>
    <xf numFmtId="0" fontId="23" fillId="0" borderId="1" xfId="832" applyFont="1" applyBorder="1" applyAlignment="1"/>
    <xf numFmtId="170" fontId="23" fillId="0" borderId="1" xfId="832" applyNumberFormat="1" applyFont="1" applyBorder="1" applyAlignment="1"/>
    <xf numFmtId="49" fontId="23" fillId="0" borderId="9" xfId="832" applyNumberFormat="1" applyFont="1" applyBorder="1" applyAlignment="1">
      <alignment horizontal="center" vertical="center"/>
    </xf>
    <xf numFmtId="170" fontId="23" fillId="0" borderId="1" xfId="832" applyNumberFormat="1" applyFont="1" applyBorder="1" applyAlignment="1">
      <alignment horizontal="center" vertical="center"/>
    </xf>
    <xf numFmtId="0" fontId="10" fillId="0" borderId="0" xfId="832" applyFont="1" applyAlignment="1">
      <alignment vertical="center"/>
    </xf>
    <xf numFmtId="4" fontId="10" fillId="0" borderId="0" xfId="832" applyNumberFormat="1" applyFont="1" applyAlignment="1">
      <alignment vertical="center"/>
    </xf>
    <xf numFmtId="49" fontId="23" fillId="0" borderId="9" xfId="832" applyNumberFormat="1" applyFont="1" applyBorder="1" applyAlignment="1">
      <alignment horizontal="center"/>
    </xf>
    <xf numFmtId="0" fontId="43" fillId="0" borderId="1" xfId="832" applyFont="1" applyBorder="1" applyAlignment="1">
      <alignment vertical="center" wrapText="1"/>
    </xf>
    <xf numFmtId="4" fontId="23" fillId="0" borderId="1" xfId="832" applyNumberFormat="1" applyFont="1" applyBorder="1" applyAlignment="1">
      <alignment horizontal="center" vertical="center"/>
    </xf>
    <xf numFmtId="4" fontId="43" fillId="0" borderId="10" xfId="832" applyNumberFormat="1" applyFont="1" applyBorder="1" applyAlignment="1">
      <alignment horizontal="center" vertical="center"/>
    </xf>
    <xf numFmtId="49" fontId="14" fillId="0" borderId="9" xfId="832" applyNumberFormat="1" applyFont="1" applyBorder="1" applyAlignment="1">
      <alignment horizontal="center"/>
    </xf>
    <xf numFmtId="170" fontId="23" fillId="0" borderId="1" xfId="832" applyNumberFormat="1" applyFont="1" applyBorder="1"/>
    <xf numFmtId="0" fontId="43" fillId="0" borderId="1" xfId="832" applyFont="1" applyBorder="1"/>
    <xf numFmtId="0" fontId="39" fillId="0" borderId="1" xfId="832" applyFont="1" applyBorder="1" applyAlignment="1">
      <alignment horizontal="center" vertical="center" wrapText="1"/>
    </xf>
    <xf numFmtId="0" fontId="23" fillId="0" borderId="9" xfId="0" applyNumberFormat="1" applyFont="1" applyBorder="1" applyAlignment="1">
      <alignment horizontal="center" vertical="center"/>
    </xf>
    <xf numFmtId="0" fontId="43" fillId="0" borderId="1" xfId="832" applyFont="1" applyBorder="1" applyAlignment="1">
      <alignment vertical="center"/>
    </xf>
    <xf numFmtId="0" fontId="23" fillId="0" borderId="1" xfId="832" applyFont="1" applyBorder="1" applyAlignment="1">
      <alignment vertical="center"/>
    </xf>
    <xf numFmtId="49" fontId="23" fillId="0" borderId="9" xfId="832" applyNumberFormat="1" applyFont="1" applyFill="1" applyBorder="1" applyAlignment="1">
      <alignment horizontal="center"/>
    </xf>
    <xf numFmtId="0" fontId="23" fillId="0" borderId="1" xfId="832" applyFont="1" applyFill="1" applyBorder="1" applyAlignment="1">
      <alignment horizontal="center" vertical="top"/>
    </xf>
    <xf numFmtId="170" fontId="23" fillId="0" borderId="1" xfId="832" applyNumberFormat="1" applyFont="1" applyFill="1" applyBorder="1" applyAlignment="1">
      <alignment horizontal="center" vertical="top"/>
    </xf>
    <xf numFmtId="4" fontId="10" fillId="0" borderId="0" xfId="832" applyNumberFormat="1" applyFont="1" applyFill="1" applyAlignment="1">
      <alignment vertical="center"/>
    </xf>
    <xf numFmtId="0" fontId="43" fillId="0" borderId="1" xfId="832" applyFont="1" applyFill="1" applyBorder="1"/>
    <xf numFmtId="0" fontId="23" fillId="0" borderId="1" xfId="832" applyFont="1" applyFill="1" applyBorder="1"/>
    <xf numFmtId="170" fontId="23" fillId="0" borderId="1" xfId="832" applyNumberFormat="1" applyFont="1" applyFill="1" applyBorder="1"/>
    <xf numFmtId="4" fontId="43" fillId="0" borderId="10" xfId="832" applyNumberFormat="1" applyFont="1" applyFill="1" applyBorder="1" applyAlignment="1">
      <alignment horizontal="center"/>
    </xf>
    <xf numFmtId="49" fontId="14" fillId="0" borderId="22" xfId="832" applyNumberFormat="1" applyFont="1" applyFill="1" applyBorder="1" applyAlignment="1">
      <alignment horizontal="center"/>
    </xf>
    <xf numFmtId="0" fontId="14" fillId="0" borderId="1" xfId="832" applyFont="1" applyFill="1" applyBorder="1"/>
    <xf numFmtId="0" fontId="23" fillId="0" borderId="1" xfId="832" applyFont="1" applyFill="1" applyBorder="1" applyAlignment="1">
      <alignment horizontal="center"/>
    </xf>
    <xf numFmtId="167" fontId="23" fillId="0" borderId="1" xfId="832" applyNumberFormat="1" applyFont="1" applyFill="1" applyBorder="1" applyAlignment="1">
      <alignment vertical="top"/>
    </xf>
    <xf numFmtId="4" fontId="23" fillId="0" borderId="10" xfId="832" applyNumberFormat="1" applyFont="1" applyFill="1" applyBorder="1" applyAlignment="1">
      <alignment horizontal="center" vertical="top"/>
    </xf>
    <xf numFmtId="4" fontId="14" fillId="0" borderId="10" xfId="832" applyNumberFormat="1" applyFont="1" applyBorder="1" applyAlignment="1">
      <alignment horizontal="center" vertical="center"/>
    </xf>
    <xf numFmtId="0" fontId="14" fillId="0" borderId="1" xfId="832" applyFont="1" applyBorder="1"/>
    <xf numFmtId="4" fontId="14" fillId="0" borderId="10" xfId="832" applyNumberFormat="1" applyFont="1" applyBorder="1" applyAlignment="1">
      <alignment horizontal="center"/>
    </xf>
    <xf numFmtId="49" fontId="14" fillId="0" borderId="9" xfId="832" applyNumberFormat="1" applyFont="1" applyBorder="1" applyAlignment="1">
      <alignment horizontal="center" vertical="center"/>
    </xf>
    <xf numFmtId="0" fontId="14" fillId="0" borderId="1" xfId="832" applyFont="1" applyBorder="1" applyAlignment="1">
      <alignment horizontal="left" vertical="center" wrapText="1"/>
    </xf>
    <xf numFmtId="49" fontId="23" fillId="9" borderId="9" xfId="832" applyNumberFormat="1" applyFont="1" applyFill="1" applyBorder="1" applyAlignment="1">
      <alignment horizontal="center"/>
    </xf>
    <xf numFmtId="0" fontId="43" fillId="9" borderId="1" xfId="832" applyFont="1" applyFill="1" applyBorder="1"/>
    <xf numFmtId="0" fontId="23" fillId="9" borderId="1" xfId="832" applyFont="1" applyFill="1" applyBorder="1"/>
    <xf numFmtId="170" fontId="23" fillId="9" borderId="1" xfId="832" applyNumberFormat="1" applyFont="1" applyFill="1" applyBorder="1"/>
    <xf numFmtId="4" fontId="14" fillId="9" borderId="10" xfId="832" applyNumberFormat="1" applyFont="1" applyFill="1" applyBorder="1" applyAlignment="1">
      <alignment horizontal="center"/>
    </xf>
    <xf numFmtId="49" fontId="23" fillId="9" borderId="11" xfId="832" applyNumberFormat="1" applyFont="1" applyFill="1" applyBorder="1" applyAlignment="1">
      <alignment horizontal="center"/>
    </xf>
    <xf numFmtId="0" fontId="43" fillId="9" borderId="14" xfId="832" applyFont="1" applyFill="1" applyBorder="1"/>
    <xf numFmtId="0" fontId="23" fillId="9" borderId="14" xfId="832" applyFont="1" applyFill="1" applyBorder="1"/>
    <xf numFmtId="170" fontId="23" fillId="9" borderId="14" xfId="832" applyNumberFormat="1" applyFont="1" applyFill="1" applyBorder="1"/>
    <xf numFmtId="4" fontId="14" fillId="9" borderId="21" xfId="832" applyNumberFormat="1" applyFont="1" applyFill="1" applyBorder="1" applyAlignment="1">
      <alignment horizontal="center"/>
    </xf>
    <xf numFmtId="49" fontId="23" fillId="0" borderId="0" xfId="832" applyNumberFormat="1" applyFont="1" applyFill="1" applyBorder="1" applyAlignment="1">
      <alignment horizontal="center"/>
    </xf>
    <xf numFmtId="0" fontId="43" fillId="0" borderId="0" xfId="832" applyFont="1" applyFill="1" applyBorder="1"/>
    <xf numFmtId="0" fontId="23" fillId="0" borderId="0" xfId="832" applyFont="1" applyFill="1" applyBorder="1"/>
    <xf numFmtId="170" fontId="23" fillId="0" borderId="0" xfId="832" applyNumberFormat="1" applyFont="1" applyFill="1" applyBorder="1"/>
    <xf numFmtId="4" fontId="23" fillId="0" borderId="0" xfId="832" applyNumberFormat="1" applyFont="1" applyFill="1" applyBorder="1" applyAlignment="1">
      <alignment horizontal="center"/>
    </xf>
    <xf numFmtId="0" fontId="14" fillId="0" borderId="20" xfId="832" applyFont="1" applyBorder="1" applyAlignment="1">
      <alignment horizontal="center" wrapText="1"/>
    </xf>
    <xf numFmtId="170" fontId="23" fillId="0" borderId="20" xfId="832" applyNumberFormat="1" applyFont="1" applyBorder="1" applyAlignment="1"/>
    <xf numFmtId="0" fontId="30" fillId="0" borderId="0" xfId="832" applyFont="1" applyAlignment="1">
      <alignment horizontal="center" vertical="top"/>
    </xf>
    <xf numFmtId="0" fontId="30" fillId="0" borderId="0" xfId="832" applyFont="1"/>
    <xf numFmtId="170" fontId="30" fillId="0" borderId="0" xfId="832" applyNumberFormat="1" applyFont="1" applyBorder="1" applyAlignment="1">
      <alignment horizontal="center"/>
    </xf>
    <xf numFmtId="0" fontId="30" fillId="0" borderId="0" xfId="832" applyFont="1" applyBorder="1" applyAlignment="1">
      <alignment horizontal="center" vertical="top"/>
    </xf>
    <xf numFmtId="49" fontId="23" fillId="0" borderId="0" xfId="832" applyNumberFormat="1" applyFont="1"/>
    <xf numFmtId="170" fontId="23" fillId="0" borderId="0" xfId="832" applyNumberFormat="1" applyFont="1"/>
    <xf numFmtId="0" fontId="10" fillId="0" borderId="0" xfId="832" applyFont="1" applyAlignment="1">
      <alignment horizontal="center"/>
    </xf>
    <xf numFmtId="170" fontId="10" fillId="0" borderId="0" xfId="832" applyNumberFormat="1" applyFont="1"/>
    <xf numFmtId="4" fontId="10" fillId="0" borderId="0" xfId="832" applyNumberFormat="1" applyFont="1" applyAlignment="1">
      <alignment horizontal="center"/>
    </xf>
    <xf numFmtId="1" fontId="13" fillId="9" borderId="1" xfId="832" applyNumberFormat="1" applyFont="1" applyFill="1" applyBorder="1" applyAlignment="1">
      <alignment horizontal="center" vertical="center" wrapText="1"/>
    </xf>
    <xf numFmtId="1" fontId="13" fillId="9" borderId="10" xfId="832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164" fontId="23" fillId="0" borderId="0" xfId="0" applyNumberFormat="1" applyFont="1" applyFill="1" applyAlignment="1">
      <alignment vertical="center"/>
    </xf>
    <xf numFmtId="164" fontId="23" fillId="0" borderId="0" xfId="0" applyNumberFormat="1" applyFont="1" applyAlignment="1">
      <alignment vertical="center"/>
    </xf>
    <xf numFmtId="4" fontId="16" fillId="0" borderId="0" xfId="830" applyNumberFormat="1"/>
    <xf numFmtId="49" fontId="14" fillId="0" borderId="22" xfId="0" applyNumberFormat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/>
    <xf numFmtId="49" fontId="10" fillId="0" borderId="37" xfId="0" applyNumberFormat="1" applyFont="1" applyBorder="1" applyAlignment="1">
      <alignment horizontal="center" vertical="center"/>
    </xf>
    <xf numFmtId="168" fontId="23" fillId="2" borderId="1" xfId="1917" applyNumberFormat="1" applyFont="1" applyFill="1" applyBorder="1" applyAlignment="1" applyProtection="1">
      <alignment horizontal="center"/>
      <protection locked="0" hidden="1"/>
    </xf>
    <xf numFmtId="0" fontId="19" fillId="0" borderId="0" xfId="0" applyFont="1"/>
    <xf numFmtId="0" fontId="22" fillId="0" borderId="2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Alignment="1">
      <alignment horizontal="center"/>
    </xf>
    <xf numFmtId="0" fontId="23" fillId="0" borderId="0" xfId="1923" applyFont="1" applyFill="1"/>
    <xf numFmtId="4" fontId="70" fillId="0" borderId="0" xfId="830" applyNumberFormat="1" applyFont="1"/>
    <xf numFmtId="0" fontId="32" fillId="0" borderId="0" xfId="830" applyFont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3" fillId="9" borderId="38" xfId="0" applyFont="1" applyFill="1" applyBorder="1" applyAlignment="1">
      <alignment horizontal="center" vertical="top" wrapText="1"/>
    </xf>
    <xf numFmtId="0" fontId="72" fillId="0" borderId="0" xfId="830" applyFont="1"/>
    <xf numFmtId="0" fontId="74" fillId="0" borderId="10" xfId="830" applyFont="1" applyFill="1" applyBorder="1" applyAlignment="1">
      <alignment horizontal="center" vertical="center" wrapText="1"/>
    </xf>
    <xf numFmtId="0" fontId="75" fillId="0" borderId="10" xfId="830" applyFont="1" applyFill="1" applyBorder="1" applyAlignment="1">
      <alignment horizontal="center" vertical="center" wrapText="1"/>
    </xf>
    <xf numFmtId="0" fontId="10" fillId="0" borderId="9" xfId="832" applyFont="1" applyBorder="1" applyAlignment="1">
      <alignment horizontal="center" vertical="center" wrapText="1"/>
    </xf>
    <xf numFmtId="0" fontId="14" fillId="0" borderId="9" xfId="830" applyFont="1" applyBorder="1" applyAlignment="1">
      <alignment horizontal="center" vertical="center" wrapText="1"/>
    </xf>
    <xf numFmtId="3" fontId="10" fillId="0" borderId="1" xfId="1946" applyNumberFormat="1" applyFont="1" applyBorder="1" applyAlignment="1">
      <alignment horizontal="center" vertical="center" wrapText="1"/>
    </xf>
    <xf numFmtId="1" fontId="14" fillId="0" borderId="9" xfId="832" applyNumberFormat="1" applyFont="1" applyBorder="1" applyAlignment="1">
      <alignment horizontal="center" vertical="center" wrapText="1"/>
    </xf>
    <xf numFmtId="3" fontId="11" fillId="0" borderId="1" xfId="1946" applyNumberFormat="1" applyFont="1" applyBorder="1" applyAlignment="1">
      <alignment horizontal="center" vertical="center" wrapText="1"/>
    </xf>
    <xf numFmtId="1" fontId="10" fillId="0" borderId="9" xfId="832" applyNumberFormat="1" applyFont="1" applyBorder="1" applyAlignment="1">
      <alignment horizontal="center" vertical="center" wrapText="1"/>
    </xf>
    <xf numFmtId="3" fontId="13" fillId="0" borderId="0" xfId="832" applyNumberFormat="1" applyFont="1" applyFill="1" applyBorder="1" applyAlignment="1">
      <alignment horizontal="center" vertical="center" wrapText="1"/>
    </xf>
    <xf numFmtId="0" fontId="15" fillId="0" borderId="20" xfId="861" applyBorder="1"/>
    <xf numFmtId="0" fontId="18" fillId="0" borderId="0" xfId="861" applyFont="1"/>
    <xf numFmtId="0" fontId="22" fillId="0" borderId="20" xfId="861" applyFont="1" applyBorder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23" fillId="0" borderId="10" xfId="0" applyNumberFormat="1" applyFont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0" fontId="16" fillId="0" borderId="0" xfId="830" applyFont="1" applyFill="1"/>
    <xf numFmtId="4" fontId="14" fillId="9" borderId="30" xfId="0" applyNumberFormat="1" applyFont="1" applyFill="1" applyBorder="1" applyAlignment="1">
      <alignment horizontal="center" vertical="center" wrapText="1"/>
    </xf>
    <xf numFmtId="175" fontId="16" fillId="0" borderId="0" xfId="830" applyNumberFormat="1"/>
    <xf numFmtId="175" fontId="64" fillId="0" borderId="0" xfId="830" applyNumberFormat="1" applyFont="1"/>
    <xf numFmtId="175" fontId="16" fillId="0" borderId="0" xfId="830" applyNumberFormat="1" applyFont="1"/>
    <xf numFmtId="175" fontId="16" fillId="0" borderId="0" xfId="830" applyNumberFormat="1" applyFont="1" applyFill="1"/>
    <xf numFmtId="175" fontId="16" fillId="0" borderId="0" xfId="830" applyNumberFormat="1" applyFill="1"/>
    <xf numFmtId="0" fontId="16" fillId="0" borderId="0" xfId="830" applyFill="1"/>
    <xf numFmtId="4" fontId="72" fillId="0" borderId="0" xfId="830" applyNumberFormat="1" applyFont="1" applyFill="1"/>
    <xf numFmtId="0" fontId="10" fillId="0" borderId="9" xfId="832" applyFont="1" applyFill="1" applyBorder="1" applyAlignment="1">
      <alignment horizontal="center" vertical="center" wrapText="1"/>
    </xf>
    <xf numFmtId="49" fontId="23" fillId="0" borderId="9" xfId="0" applyNumberFormat="1" applyFont="1" applyFill="1" applyBorder="1"/>
    <xf numFmtId="0" fontId="16" fillId="0" borderId="0" xfId="830" applyFont="1" applyFill="1" applyAlignment="1">
      <alignment wrapText="1"/>
    </xf>
    <xf numFmtId="3" fontId="10" fillId="0" borderId="18" xfId="1946" applyNumberFormat="1" applyFont="1" applyFill="1" applyBorder="1" applyAlignment="1">
      <alignment horizontal="center" vertical="center" wrapText="1"/>
    </xf>
    <xf numFmtId="4" fontId="66" fillId="0" borderId="18" xfId="832" applyNumberFormat="1" applyFont="1" applyFill="1" applyBorder="1" applyAlignment="1">
      <alignment horizontal="center" vertical="center" wrapText="1"/>
    </xf>
    <xf numFmtId="4" fontId="10" fillId="0" borderId="18" xfId="832" applyNumberFormat="1" applyFont="1" applyFill="1" applyBorder="1" applyAlignment="1">
      <alignment horizontal="center" vertical="center" wrapText="1"/>
    </xf>
    <xf numFmtId="4" fontId="66" fillId="0" borderId="18" xfId="1946" applyNumberFormat="1" applyFont="1" applyFill="1" applyBorder="1" applyAlignment="1">
      <alignment horizontal="center" vertical="center" wrapText="1"/>
    </xf>
    <xf numFmtId="4" fontId="13" fillId="0" borderId="18" xfId="83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49" fontId="66" fillId="0" borderId="9" xfId="832" applyNumberFormat="1" applyFont="1" applyFill="1" applyBorder="1" applyAlignment="1">
      <alignment horizontal="center" vertical="center" wrapText="1"/>
    </xf>
    <xf numFmtId="0" fontId="99" fillId="0" borderId="0" xfId="0" applyFont="1"/>
    <xf numFmtId="0" fontId="99" fillId="0" borderId="0" xfId="0" applyFont="1" applyFill="1"/>
    <xf numFmtId="4" fontId="100" fillId="0" borderId="39" xfId="0" applyNumberFormat="1" applyFont="1" applyBorder="1" applyAlignment="1">
      <alignment horizontal="center"/>
    </xf>
    <xf numFmtId="0" fontId="101" fillId="0" borderId="0" xfId="0" applyFont="1"/>
    <xf numFmtId="0" fontId="101" fillId="0" borderId="0" xfId="0" applyFont="1" applyFill="1"/>
    <xf numFmtId="0" fontId="22" fillId="0" borderId="1" xfId="0" applyFont="1" applyFill="1" applyBorder="1" applyAlignment="1">
      <alignment vertical="center"/>
    </xf>
    <xf numFmtId="0" fontId="102" fillId="0" borderId="1" xfId="0" applyFont="1" applyBorder="1" applyAlignment="1">
      <alignment horizontal="center"/>
    </xf>
    <xf numFmtId="0" fontId="102" fillId="0" borderId="1" xfId="0" applyFont="1" applyBorder="1"/>
    <xf numFmtId="0" fontId="102" fillId="0" borderId="0" xfId="0" applyFont="1"/>
    <xf numFmtId="0" fontId="102" fillId="0" borderId="0" xfId="0" applyFont="1" applyFill="1"/>
    <xf numFmtId="0" fontId="19" fillId="0" borderId="1" xfId="0" applyFont="1" applyFill="1" applyBorder="1" applyAlignment="1">
      <alignment vertical="center"/>
    </xf>
    <xf numFmtId="0" fontId="101" fillId="0" borderId="1" xfId="0" applyFont="1" applyBorder="1"/>
    <xf numFmtId="0" fontId="101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3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02" fillId="0" borderId="0" xfId="0" applyFont="1" applyFill="1" applyAlignment="1">
      <alignment horizontal="center"/>
    </xf>
    <xf numFmtId="0" fontId="102" fillId="0" borderId="0" xfId="0" applyFont="1" applyAlignment="1">
      <alignment horizont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4" fontId="19" fillId="0" borderId="0" xfId="0" applyNumberFormat="1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102" fillId="0" borderId="12" xfId="0" applyFont="1" applyBorder="1" applyAlignment="1">
      <alignment horizontal="center"/>
    </xf>
    <xf numFmtId="0" fontId="19" fillId="0" borderId="9" xfId="0" applyFont="1" applyFill="1" applyBorder="1" applyAlignment="1">
      <alignment vertical="center"/>
    </xf>
    <xf numFmtId="17" fontId="19" fillId="0" borderId="9" xfId="0" applyNumberFormat="1" applyFont="1" applyFill="1" applyBorder="1" applyAlignment="1">
      <alignment vertical="center"/>
    </xf>
    <xf numFmtId="17" fontId="19" fillId="0" borderId="11" xfId="0" applyNumberFormat="1" applyFont="1" applyFill="1" applyBorder="1" applyAlignment="1">
      <alignment vertical="center"/>
    </xf>
    <xf numFmtId="0" fontId="19" fillId="0" borderId="14" xfId="0" applyFont="1" applyBorder="1"/>
    <xf numFmtId="0" fontId="101" fillId="0" borderId="14" xfId="0" applyFont="1" applyBorder="1" applyAlignment="1">
      <alignment horizontal="center"/>
    </xf>
    <xf numFmtId="4" fontId="22" fillId="0" borderId="21" xfId="0" applyNumberFormat="1" applyFont="1" applyBorder="1" applyAlignment="1">
      <alignment horizontal="center"/>
    </xf>
    <xf numFmtId="0" fontId="55" fillId="2" borderId="1" xfId="0" applyFont="1" applyFill="1" applyBorder="1" applyAlignment="1">
      <alignment horizontal="center" vertical="center" wrapText="1"/>
    </xf>
    <xf numFmtId="0" fontId="77" fillId="2" borderId="1" xfId="0" applyFont="1" applyFill="1" applyBorder="1" applyAlignment="1">
      <alignment horizontal="center" vertical="center"/>
    </xf>
    <xf numFmtId="0" fontId="77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3" fillId="2" borderId="1" xfId="0" applyFont="1" applyFill="1" applyBorder="1" applyAlignment="1">
      <alignment horizontal="center" vertical="center" wrapText="1"/>
    </xf>
    <xf numFmtId="0" fontId="76" fillId="0" borderId="0" xfId="1184" applyFont="1" applyBorder="1" applyProtection="1"/>
    <xf numFmtId="9" fontId="76" fillId="0" borderId="0" xfId="1184" applyNumberFormat="1" applyFont="1" applyFill="1" applyBorder="1" applyProtection="1"/>
    <xf numFmtId="49" fontId="105" fillId="0" borderId="1" xfId="1184" applyNumberFormat="1" applyFont="1" applyFill="1" applyBorder="1" applyAlignment="1" applyProtection="1">
      <alignment horizontal="center" vertical="center" wrapText="1"/>
    </xf>
    <xf numFmtId="0" fontId="105" fillId="0" borderId="1" xfId="1184" applyFont="1" applyFill="1" applyBorder="1" applyAlignment="1" applyProtection="1">
      <alignment vertical="center" wrapText="1"/>
    </xf>
    <xf numFmtId="177" fontId="76" fillId="10" borderId="1" xfId="1184" applyNumberFormat="1" applyFont="1" applyFill="1" applyBorder="1" applyAlignment="1" applyProtection="1">
      <alignment horizontal="center" vertical="center" textRotation="90" wrapText="1"/>
    </xf>
    <xf numFmtId="1" fontId="76" fillId="10" borderId="1" xfId="1184" applyNumberFormat="1" applyFont="1" applyFill="1" applyBorder="1" applyAlignment="1" applyProtection="1">
      <alignment horizontal="center" vertical="center" textRotation="90" wrapText="1"/>
    </xf>
    <xf numFmtId="0" fontId="105" fillId="0" borderId="1" xfId="1184" applyFont="1" applyFill="1" applyBorder="1" applyAlignment="1" applyProtection="1">
      <alignment horizontal="left" vertical="center" wrapText="1"/>
    </xf>
    <xf numFmtId="0" fontId="76" fillId="0" borderId="1" xfId="1184" applyFont="1" applyBorder="1" applyProtection="1"/>
    <xf numFmtId="1" fontId="76" fillId="0" borderId="1" xfId="1184" applyNumberFormat="1" applyFont="1" applyBorder="1" applyProtection="1"/>
    <xf numFmtId="49" fontId="105" fillId="0" borderId="1" xfId="1184" applyNumberFormat="1" applyFont="1" applyFill="1" applyBorder="1" applyAlignment="1" applyProtection="1">
      <alignment horizontal="center" vertical="center"/>
    </xf>
    <xf numFmtId="0" fontId="79" fillId="2" borderId="1" xfId="0" applyFont="1" applyFill="1" applyBorder="1" applyAlignment="1">
      <alignment horizontal="left" vertical="center"/>
    </xf>
    <xf numFmtId="1" fontId="106" fillId="2" borderId="1" xfId="1935" applyNumberFormat="1" applyFont="1" applyFill="1" applyBorder="1" applyAlignment="1" applyProtection="1">
      <alignment horizontal="center" vertical="center"/>
    </xf>
    <xf numFmtId="1" fontId="105" fillId="2" borderId="1" xfId="1935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1" fontId="76" fillId="2" borderId="1" xfId="1184" applyNumberFormat="1" applyFont="1" applyFill="1" applyBorder="1" applyAlignment="1" applyProtection="1">
      <alignment horizontal="center" vertical="center"/>
    </xf>
    <xf numFmtId="10" fontId="76" fillId="2" borderId="1" xfId="1184" applyNumberFormat="1" applyFont="1" applyFill="1" applyBorder="1" applyAlignment="1" applyProtection="1">
      <alignment horizontal="center" vertical="center"/>
    </xf>
    <xf numFmtId="1" fontId="76" fillId="11" borderId="1" xfId="1935" applyNumberFormat="1" applyFont="1" applyFill="1" applyBorder="1" applyAlignment="1" applyProtection="1">
      <alignment horizontal="center" vertical="center"/>
      <protection locked="0"/>
    </xf>
    <xf numFmtId="1" fontId="105" fillId="12" borderId="1" xfId="1935" applyNumberFormat="1" applyFont="1" applyFill="1" applyBorder="1" applyAlignment="1" applyProtection="1">
      <alignment horizontal="center" vertical="center"/>
    </xf>
    <xf numFmtId="0" fontId="80" fillId="2" borderId="1" xfId="0" applyFont="1" applyFill="1" applyBorder="1" applyAlignment="1">
      <alignment horizontal="left" vertical="center" wrapText="1"/>
    </xf>
    <xf numFmtId="1" fontId="76" fillId="2" borderId="1" xfId="1935" applyNumberFormat="1" applyFont="1" applyFill="1" applyBorder="1" applyAlignment="1" applyProtection="1">
      <alignment horizontal="center" vertical="center"/>
      <protection locked="0"/>
    </xf>
    <xf numFmtId="0" fontId="105" fillId="2" borderId="1" xfId="1184" applyFont="1" applyFill="1" applyBorder="1" applyAlignment="1" applyProtection="1">
      <alignment horizontal="center" vertical="center"/>
    </xf>
    <xf numFmtId="1" fontId="105" fillId="11" borderId="1" xfId="1935" applyNumberFormat="1" applyFont="1" applyFill="1" applyBorder="1" applyAlignment="1" applyProtection="1">
      <alignment horizontal="center" vertical="center"/>
      <protection locked="0"/>
    </xf>
    <xf numFmtId="9" fontId="76" fillId="2" borderId="1" xfId="1935" applyFont="1" applyFill="1" applyBorder="1" applyAlignment="1" applyProtection="1">
      <alignment horizontal="center" vertical="center"/>
    </xf>
    <xf numFmtId="0" fontId="19" fillId="2" borderId="1" xfId="1184" applyFont="1" applyFill="1" applyBorder="1" applyAlignment="1" applyProtection="1">
      <alignment vertical="center" wrapText="1"/>
    </xf>
    <xf numFmtId="1" fontId="105" fillId="2" borderId="1" xfId="1935" applyNumberFormat="1" applyFont="1" applyFill="1" applyBorder="1" applyAlignment="1" applyProtection="1">
      <alignment horizontal="center" vertical="center"/>
      <protection locked="0"/>
    </xf>
    <xf numFmtId="49" fontId="105" fillId="2" borderId="1" xfId="1184" applyNumberFormat="1" applyFont="1" applyFill="1" applyBorder="1" applyAlignment="1" applyProtection="1">
      <alignment horizontal="center" vertical="center" wrapText="1"/>
    </xf>
    <xf numFmtId="0" fontId="106" fillId="2" borderId="1" xfId="1184" applyFont="1" applyFill="1" applyBorder="1" applyAlignment="1" applyProtection="1">
      <alignment horizontal="center" vertical="center"/>
    </xf>
    <xf numFmtId="0" fontId="76" fillId="2" borderId="1" xfId="0" applyFont="1" applyFill="1" applyBorder="1" applyAlignment="1">
      <alignment horizontal="left" vertical="center" wrapText="1"/>
    </xf>
    <xf numFmtId="1" fontId="76" fillId="11" borderId="1" xfId="1184" applyNumberFormat="1" applyFont="1" applyFill="1" applyBorder="1" applyAlignment="1" applyProtection="1">
      <alignment horizontal="center" vertical="center"/>
      <protection locked="0"/>
    </xf>
    <xf numFmtId="0" fontId="105" fillId="2" borderId="1" xfId="1184" applyFont="1" applyFill="1" applyBorder="1" applyAlignment="1" applyProtection="1">
      <alignment horizontal="left" vertical="center" wrapText="1"/>
    </xf>
    <xf numFmtId="0" fontId="107" fillId="2" borderId="1" xfId="1184" applyFont="1" applyFill="1" applyBorder="1" applyAlignment="1" applyProtection="1">
      <alignment horizontal="left" vertical="center" wrapText="1"/>
    </xf>
    <xf numFmtId="0" fontId="76" fillId="2" borderId="1" xfId="1184" applyFont="1" applyFill="1" applyBorder="1" applyAlignment="1" applyProtection="1">
      <alignment vertical="center" wrapText="1"/>
    </xf>
    <xf numFmtId="0" fontId="80" fillId="2" borderId="1" xfId="1184" applyFont="1" applyFill="1" applyBorder="1" applyAlignment="1" applyProtection="1">
      <alignment vertical="center" wrapText="1"/>
    </xf>
    <xf numFmtId="0" fontId="81" fillId="2" borderId="1" xfId="1184" applyFont="1" applyFill="1" applyBorder="1" applyAlignment="1" applyProtection="1">
      <alignment vertical="center" wrapText="1"/>
    </xf>
    <xf numFmtId="0" fontId="12" fillId="2" borderId="1" xfId="1184" applyFont="1" applyFill="1" applyBorder="1" applyAlignment="1" applyProtection="1">
      <alignment vertical="center" wrapText="1"/>
    </xf>
    <xf numFmtId="0" fontId="40" fillId="0" borderId="0" xfId="1916" applyFont="1" applyFill="1" applyAlignment="1">
      <alignment horizontal="center"/>
    </xf>
    <xf numFmtId="0" fontId="10" fillId="0" borderId="0" xfId="832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41" fillId="0" borderId="0" xfId="1916" applyFont="1" applyAlignment="1" applyProtection="1">
      <alignment horizontal="center" vertical="center"/>
      <protection locked="0"/>
    </xf>
    <xf numFmtId="0" fontId="63" fillId="0" borderId="0" xfId="1916" applyFont="1" applyAlignment="1">
      <alignment horizontal="left" vertical="center"/>
    </xf>
    <xf numFmtId="0" fontId="59" fillId="0" borderId="0" xfId="0" applyFont="1" applyAlignment="1"/>
    <xf numFmtId="0" fontId="62" fillId="0" borderId="0" xfId="830" applyFont="1" applyAlignment="1">
      <alignment horizontal="left" vertical="center" wrapText="1"/>
    </xf>
    <xf numFmtId="0" fontId="46" fillId="0" borderId="0" xfId="832" applyFont="1" applyBorder="1" applyAlignment="1">
      <alignment horizontal="center" vertical="top" wrapText="1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Border="1" applyAlignment="1">
      <alignment vertical="center"/>
    </xf>
    <xf numFmtId="0" fontId="105" fillId="0" borderId="1" xfId="1184" applyFont="1" applyFill="1" applyBorder="1" applyAlignment="1" applyProtection="1">
      <alignment horizontal="center" vertical="center" wrapText="1"/>
    </xf>
    <xf numFmtId="49" fontId="108" fillId="2" borderId="1" xfId="1184" applyNumberFormat="1" applyFont="1" applyFill="1" applyBorder="1" applyAlignment="1" applyProtection="1">
      <alignment horizontal="center" vertical="center" wrapText="1"/>
    </xf>
    <xf numFmtId="0" fontId="107" fillId="2" borderId="1" xfId="1184" applyFont="1" applyFill="1" applyBorder="1" applyAlignment="1" applyProtection="1">
      <alignment horizontal="left" vertical="center"/>
    </xf>
    <xf numFmtId="0" fontId="108" fillId="2" borderId="1" xfId="1184" applyFont="1" applyFill="1" applyBorder="1" applyAlignment="1" applyProtection="1">
      <alignment horizontal="center" vertical="center"/>
    </xf>
    <xf numFmtId="3" fontId="105" fillId="2" borderId="1" xfId="1184" applyNumberFormat="1" applyFont="1" applyFill="1" applyBorder="1" applyAlignment="1" applyProtection="1">
      <alignment horizontal="center" vertical="center"/>
    </xf>
    <xf numFmtId="3" fontId="106" fillId="2" borderId="1" xfId="1184" applyNumberFormat="1" applyFont="1" applyFill="1" applyBorder="1" applyAlignment="1" applyProtection="1">
      <alignment horizontal="center" vertical="center"/>
    </xf>
    <xf numFmtId="3" fontId="105" fillId="12" borderId="1" xfId="1184" applyNumberFormat="1" applyFont="1" applyFill="1" applyBorder="1" applyAlignment="1" applyProtection="1">
      <alignment horizontal="center" vertical="center"/>
    </xf>
    <xf numFmtId="3" fontId="76" fillId="2" borderId="1" xfId="1184" applyNumberFormat="1" applyFont="1" applyFill="1" applyBorder="1" applyAlignment="1" applyProtection="1">
      <alignment horizontal="center" vertical="center"/>
    </xf>
    <xf numFmtId="0" fontId="109" fillId="2" borderId="1" xfId="1184" applyFont="1" applyFill="1" applyBorder="1" applyAlignment="1" applyProtection="1">
      <alignment horizontal="left" vertical="center"/>
    </xf>
    <xf numFmtId="0" fontId="105" fillId="2" borderId="1" xfId="1184" applyFont="1" applyFill="1" applyBorder="1" applyAlignment="1" applyProtection="1">
      <alignment vertical="center" wrapText="1"/>
    </xf>
    <xf numFmtId="3" fontId="101" fillId="0" borderId="1" xfId="1184" applyNumberFormat="1" applyFont="1" applyFill="1" applyBorder="1" applyAlignment="1" applyProtection="1">
      <alignment vertical="center" wrapText="1"/>
    </xf>
    <xf numFmtId="0" fontId="107" fillId="0" borderId="1" xfId="1184" applyFont="1" applyFill="1" applyBorder="1" applyAlignment="1" applyProtection="1">
      <alignment vertical="center" wrapText="1"/>
    </xf>
    <xf numFmtId="0" fontId="107" fillId="2" borderId="1" xfId="1184" applyFont="1" applyFill="1" applyBorder="1" applyAlignment="1" applyProtection="1">
      <alignment vertical="center" wrapText="1"/>
    </xf>
    <xf numFmtId="1" fontId="76" fillId="2" borderId="1" xfId="1184" applyNumberFormat="1" applyFont="1" applyFill="1" applyBorder="1" applyAlignment="1" applyProtection="1">
      <alignment horizontal="center" vertical="center"/>
      <protection locked="0"/>
    </xf>
    <xf numFmtId="0" fontId="110" fillId="2" borderId="1" xfId="1184" applyFont="1" applyFill="1" applyBorder="1" applyAlignment="1" applyProtection="1">
      <alignment horizontal="left" vertical="center"/>
    </xf>
    <xf numFmtId="0" fontId="108" fillId="2" borderId="1" xfId="1184" applyFont="1" applyFill="1" applyBorder="1" applyAlignment="1" applyProtection="1">
      <alignment horizontal="left" vertical="center"/>
    </xf>
    <xf numFmtId="3" fontId="105" fillId="12" borderId="1" xfId="1935" applyNumberFormat="1" applyFont="1" applyFill="1" applyBorder="1" applyAlignment="1" applyProtection="1">
      <alignment horizontal="center" vertical="center"/>
    </xf>
    <xf numFmtId="49" fontId="105" fillId="2" borderId="16" xfId="1184" applyNumberFormat="1" applyFont="1" applyFill="1" applyBorder="1" applyAlignment="1" applyProtection="1">
      <alignment horizontal="center" vertical="center" wrapText="1"/>
    </xf>
    <xf numFmtId="0" fontId="12" fillId="2" borderId="16" xfId="1184" applyFont="1" applyFill="1" applyBorder="1" applyAlignment="1" applyProtection="1">
      <alignment vertical="center" wrapText="1"/>
    </xf>
    <xf numFmtId="0" fontId="99" fillId="0" borderId="0" xfId="1184" applyFont="1" applyProtection="1"/>
    <xf numFmtId="10" fontId="76" fillId="2" borderId="16" xfId="1184" applyNumberFormat="1" applyFont="1" applyFill="1" applyBorder="1" applyAlignment="1" applyProtection="1">
      <alignment horizontal="center" vertical="center"/>
    </xf>
    <xf numFmtId="1" fontId="76" fillId="2" borderId="16" xfId="1184" applyNumberFormat="1" applyFont="1" applyFill="1" applyBorder="1" applyAlignment="1" applyProtection="1">
      <alignment horizontal="center" vertical="center"/>
      <protection locked="0"/>
    </xf>
    <xf numFmtId="3" fontId="105" fillId="2" borderId="16" xfId="1184" applyNumberFormat="1" applyFont="1" applyFill="1" applyBorder="1" applyAlignment="1" applyProtection="1">
      <alignment horizontal="center" vertical="center"/>
    </xf>
    <xf numFmtId="3" fontId="106" fillId="2" borderId="16" xfId="1184" applyNumberFormat="1" applyFont="1" applyFill="1" applyBorder="1" applyAlignment="1" applyProtection="1">
      <alignment horizontal="center" vertical="center"/>
    </xf>
    <xf numFmtId="49" fontId="105" fillId="2" borderId="15" xfId="1184" applyNumberFormat="1" applyFont="1" applyFill="1" applyBorder="1" applyAlignment="1" applyProtection="1">
      <alignment horizontal="center" vertical="center" wrapText="1"/>
    </xf>
    <xf numFmtId="0" fontId="105" fillId="2" borderId="12" xfId="1184" applyFont="1" applyFill="1" applyBorder="1" applyAlignment="1" applyProtection="1">
      <alignment vertical="center" wrapText="1"/>
    </xf>
    <xf numFmtId="0" fontId="105" fillId="2" borderId="12" xfId="1184" applyFont="1" applyFill="1" applyBorder="1" applyAlignment="1" applyProtection="1">
      <alignment horizontal="center" vertical="center"/>
    </xf>
    <xf numFmtId="178" fontId="76" fillId="0" borderId="12" xfId="1184" applyNumberFormat="1" applyFont="1" applyBorder="1" applyProtection="1"/>
    <xf numFmtId="1" fontId="76" fillId="0" borderId="12" xfId="1184" applyNumberFormat="1" applyFont="1" applyBorder="1" applyProtection="1"/>
    <xf numFmtId="9" fontId="76" fillId="0" borderId="12" xfId="1184" applyNumberFormat="1" applyFont="1" applyBorder="1" applyProtection="1"/>
    <xf numFmtId="9" fontId="76" fillId="0" borderId="13" xfId="1184" applyNumberFormat="1" applyFont="1" applyBorder="1" applyProtection="1"/>
    <xf numFmtId="49" fontId="105" fillId="2" borderId="11" xfId="1184" applyNumberFormat="1" applyFont="1" applyFill="1" applyBorder="1" applyAlignment="1" applyProtection="1">
      <alignment horizontal="center" vertical="center" wrapText="1"/>
    </xf>
    <xf numFmtId="0" fontId="105" fillId="0" borderId="14" xfId="1184" applyFont="1" applyFill="1" applyBorder="1" applyAlignment="1" applyProtection="1">
      <alignment vertical="center" wrapText="1"/>
    </xf>
    <xf numFmtId="9" fontId="76" fillId="0" borderId="14" xfId="1184" applyNumberFormat="1" applyFont="1" applyBorder="1" applyAlignment="1" applyProtection="1">
      <alignment horizontal="center" vertical="center"/>
    </xf>
    <xf numFmtId="1" fontId="76" fillId="0" borderId="14" xfId="1184" applyNumberFormat="1" applyFont="1" applyBorder="1" applyAlignment="1" applyProtection="1">
      <alignment horizontal="center" vertical="center"/>
    </xf>
    <xf numFmtId="9" fontId="76" fillId="0" borderId="21" xfId="1184" applyNumberFormat="1" applyFont="1" applyBorder="1" applyAlignment="1" applyProtection="1">
      <alignment horizontal="center" vertical="center"/>
    </xf>
    <xf numFmtId="0" fontId="82" fillId="2" borderId="1" xfId="1184" applyFont="1" applyFill="1" applyBorder="1" applyAlignment="1" applyProtection="1">
      <alignment vertical="center" wrapText="1"/>
    </xf>
    <xf numFmtId="49" fontId="105" fillId="0" borderId="16" xfId="1184" applyNumberFormat="1" applyFont="1" applyFill="1" applyBorder="1" applyAlignment="1" applyProtection="1">
      <alignment horizontal="center" vertical="center" wrapText="1"/>
    </xf>
    <xf numFmtId="0" fontId="105" fillId="2" borderId="16" xfId="1184" applyFont="1" applyFill="1" applyBorder="1" applyAlignment="1" applyProtection="1">
      <alignment horizontal="center" vertical="center"/>
    </xf>
    <xf numFmtId="1" fontId="76" fillId="11" borderId="16" xfId="1184" applyNumberFormat="1" applyFont="1" applyFill="1" applyBorder="1" applyAlignment="1" applyProtection="1">
      <alignment horizontal="center" vertical="center"/>
      <protection locked="0"/>
    </xf>
    <xf numFmtId="1" fontId="105" fillId="2" borderId="16" xfId="1935" applyNumberFormat="1" applyFont="1" applyFill="1" applyBorder="1" applyAlignment="1" applyProtection="1">
      <alignment horizontal="center" vertical="center"/>
    </xf>
    <xf numFmtId="1" fontId="106" fillId="2" borderId="16" xfId="1935" applyNumberFormat="1" applyFont="1" applyFill="1" applyBorder="1" applyAlignment="1" applyProtection="1">
      <alignment horizontal="center" vertical="center"/>
    </xf>
    <xf numFmtId="49" fontId="105" fillId="0" borderId="15" xfId="1184" applyNumberFormat="1" applyFont="1" applyFill="1" applyBorder="1" applyAlignment="1" applyProtection="1">
      <alignment horizontal="center" vertical="center" wrapText="1"/>
    </xf>
    <xf numFmtId="1" fontId="76" fillId="0" borderId="12" xfId="1184" applyNumberFormat="1" applyFont="1" applyBorder="1" applyAlignment="1" applyProtection="1">
      <alignment horizontal="center"/>
    </xf>
    <xf numFmtId="0" fontId="76" fillId="0" borderId="12" xfId="1184" applyFont="1" applyBorder="1" applyAlignment="1" applyProtection="1">
      <alignment horizontal="center"/>
    </xf>
    <xf numFmtId="0" fontId="76" fillId="0" borderId="12" xfId="1184" applyFont="1" applyBorder="1" applyProtection="1"/>
    <xf numFmtId="0" fontId="76" fillId="2" borderId="12" xfId="1184" applyFont="1" applyFill="1" applyBorder="1" applyProtection="1"/>
    <xf numFmtId="0" fontId="106" fillId="2" borderId="12" xfId="1184" applyFont="1" applyFill="1" applyBorder="1" applyProtection="1"/>
    <xf numFmtId="0" fontId="106" fillId="0" borderId="12" xfId="1184" applyFont="1" applyBorder="1" applyProtection="1"/>
    <xf numFmtId="0" fontId="106" fillId="0" borderId="13" xfId="1184" applyFont="1" applyBorder="1" applyProtection="1"/>
    <xf numFmtId="49" fontId="105" fillId="0" borderId="9" xfId="1184" applyNumberFormat="1" applyFont="1" applyFill="1" applyBorder="1" applyAlignment="1" applyProtection="1">
      <alignment horizontal="center" vertical="center" wrapText="1"/>
    </xf>
    <xf numFmtId="9" fontId="76" fillId="0" borderId="1" xfId="1184" applyNumberFormat="1" applyFont="1" applyBorder="1" applyProtection="1"/>
    <xf numFmtId="9" fontId="76" fillId="0" borderId="10" xfId="1184" applyNumberFormat="1" applyFont="1" applyBorder="1" applyProtection="1"/>
    <xf numFmtId="49" fontId="105" fillId="0" borderId="11" xfId="1184" applyNumberFormat="1" applyFont="1" applyFill="1" applyBorder="1" applyAlignment="1" applyProtection="1">
      <alignment horizontal="center" vertical="center" wrapText="1"/>
    </xf>
    <xf numFmtId="9" fontId="76" fillId="0" borderId="14" xfId="1184" applyNumberFormat="1" applyFont="1" applyBorder="1" applyProtection="1"/>
    <xf numFmtId="1" fontId="76" fillId="0" borderId="14" xfId="1184" applyNumberFormat="1" applyFont="1" applyBorder="1" applyProtection="1"/>
    <xf numFmtId="9" fontId="76" fillId="0" borderId="21" xfId="1184" applyNumberFormat="1" applyFont="1" applyBorder="1" applyProtection="1"/>
    <xf numFmtId="49" fontId="99" fillId="0" borderId="0" xfId="1184" applyNumberFormat="1" applyFont="1" applyFill="1" applyAlignment="1" applyProtection="1">
      <alignment horizontal="center" vertical="center" wrapText="1"/>
    </xf>
    <xf numFmtId="0" fontId="105" fillId="0" borderId="0" xfId="1184" applyFont="1" applyFill="1" applyAlignment="1" applyProtection="1">
      <alignment horizontal="left" vertical="center" wrapText="1"/>
    </xf>
    <xf numFmtId="1" fontId="99" fillId="0" borderId="0" xfId="1184" applyNumberFormat="1" applyFont="1" applyProtection="1"/>
    <xf numFmtId="0" fontId="99" fillId="2" borderId="0" xfId="1184" applyFont="1" applyFill="1" applyBorder="1" applyProtection="1"/>
    <xf numFmtId="0" fontId="99" fillId="0" borderId="0" xfId="1184" applyFont="1" applyFill="1" applyBorder="1" applyAlignment="1" applyProtection="1">
      <alignment vertical="center" wrapText="1"/>
    </xf>
    <xf numFmtId="0" fontId="11" fillId="0" borderId="1" xfId="1914" applyFont="1" applyFill="1" applyBorder="1" applyAlignment="1">
      <alignment horizontal="center" vertical="center" wrapText="1"/>
    </xf>
    <xf numFmtId="175" fontId="72" fillId="0" borderId="0" xfId="830" applyNumberFormat="1" applyFont="1"/>
    <xf numFmtId="0" fontId="83" fillId="0" borderId="0" xfId="830" applyFont="1"/>
    <xf numFmtId="3" fontId="14" fillId="0" borderId="44" xfId="1914" applyNumberFormat="1" applyFont="1" applyFill="1" applyBorder="1" applyAlignment="1">
      <alignment horizontal="center" vertical="center" wrapText="1"/>
    </xf>
    <xf numFmtId="3" fontId="14" fillId="0" borderId="14" xfId="191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79" fontId="14" fillId="0" borderId="0" xfId="0" applyNumberFormat="1" applyFont="1" applyAlignment="1">
      <alignment horizontal="center" vertical="center" wrapText="1"/>
    </xf>
    <xf numFmtId="4" fontId="10" fillId="0" borderId="1" xfId="1921" applyNumberFormat="1" applyFont="1" applyFill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69" fillId="0" borderId="9" xfId="1916" applyFont="1" applyFill="1" applyBorder="1" applyAlignment="1" applyProtection="1">
      <alignment horizontal="center" vertical="center" wrapText="1"/>
      <protection locked="0"/>
    </xf>
    <xf numFmtId="0" fontId="22" fillId="0" borderId="27" xfId="861" applyFont="1" applyFill="1" applyBorder="1" applyAlignment="1">
      <alignment horizontal="left" vertical="center" wrapText="1"/>
    </xf>
    <xf numFmtId="0" fontId="69" fillId="0" borderId="1" xfId="1916" applyFont="1" applyFill="1" applyBorder="1" applyAlignment="1" applyProtection="1">
      <alignment horizontal="center" vertical="justify" wrapText="1"/>
      <protection locked="0"/>
    </xf>
    <xf numFmtId="0" fontId="29" fillId="0" borderId="1" xfId="1916" applyFont="1" applyFill="1" applyBorder="1" applyAlignment="1" applyProtection="1">
      <alignment horizontal="center" vertical="justify" wrapText="1"/>
      <protection locked="0"/>
    </xf>
    <xf numFmtId="49" fontId="29" fillId="0" borderId="1" xfId="1916" applyNumberFormat="1" applyFont="1" applyFill="1" applyBorder="1" applyAlignment="1" applyProtection="1">
      <alignment horizontal="center" vertical="top" wrapText="1"/>
      <protection locked="0"/>
    </xf>
    <xf numFmtId="49" fontId="29" fillId="0" borderId="10" xfId="1916" applyNumberFormat="1" applyFont="1" applyFill="1" applyBorder="1" applyAlignment="1" applyProtection="1">
      <alignment horizontal="center" vertical="top" wrapText="1"/>
      <protection locked="0"/>
    </xf>
    <xf numFmtId="16" fontId="69" fillId="0" borderId="9" xfId="1916" applyNumberFormat="1" applyFont="1" applyFill="1" applyBorder="1" applyAlignment="1" applyProtection="1">
      <alignment horizontal="center" vertical="center" wrapText="1"/>
      <protection locked="0"/>
    </xf>
    <xf numFmtId="0" fontId="19" fillId="0" borderId="27" xfId="861" applyFont="1" applyFill="1" applyBorder="1" applyAlignment="1">
      <alignment horizontal="left" vertical="center"/>
    </xf>
    <xf numFmtId="3" fontId="69" fillId="0" borderId="1" xfId="1916" applyNumberFormat="1" applyFont="1" applyFill="1" applyBorder="1" applyAlignment="1" applyProtection="1">
      <alignment horizontal="center" vertical="center"/>
    </xf>
    <xf numFmtId="171" fontId="69" fillId="0" borderId="1" xfId="1916" applyNumberFormat="1" applyFont="1" applyFill="1" applyBorder="1" applyAlignment="1" applyProtection="1">
      <alignment horizontal="center" vertical="center"/>
    </xf>
    <xf numFmtId="4" fontId="69" fillId="0" borderId="1" xfId="1916" applyNumberFormat="1" applyFont="1" applyFill="1" applyBorder="1" applyAlignment="1" applyProtection="1">
      <alignment horizontal="center" vertical="center"/>
    </xf>
    <xf numFmtId="3" fontId="29" fillId="0" borderId="1" xfId="1916" applyNumberFormat="1" applyFont="1" applyFill="1" applyBorder="1" applyAlignment="1">
      <alignment horizontal="center" vertical="center"/>
    </xf>
    <xf numFmtId="4" fontId="69" fillId="0" borderId="10" xfId="1916" applyNumberFormat="1" applyFont="1" applyFill="1" applyBorder="1" applyAlignment="1" applyProtection="1">
      <alignment horizontal="center" vertical="center"/>
    </xf>
    <xf numFmtId="3" fontId="19" fillId="0" borderId="1" xfId="1916" applyNumberFormat="1" applyFont="1" applyFill="1" applyBorder="1" applyAlignment="1" applyProtection="1">
      <alignment horizontal="center" vertical="center"/>
    </xf>
    <xf numFmtId="0" fontId="69" fillId="0" borderId="1" xfId="1916" applyFont="1" applyFill="1" applyBorder="1" applyAlignment="1">
      <alignment horizontal="left" vertical="center"/>
    </xf>
    <xf numFmtId="0" fontId="69" fillId="0" borderId="9" xfId="1916" applyFont="1" applyFill="1" applyBorder="1" applyAlignment="1" applyProtection="1">
      <alignment horizontal="center" vertical="center"/>
      <protection locked="0"/>
    </xf>
    <xf numFmtId="3" fontId="29" fillId="0" borderId="1" xfId="1916" applyNumberFormat="1" applyFont="1" applyFill="1" applyBorder="1" applyAlignment="1" applyProtection="1">
      <alignment horizontal="center" vertical="center"/>
    </xf>
    <xf numFmtId="0" fontId="69" fillId="0" borderId="27" xfId="1916" applyFont="1" applyFill="1" applyBorder="1" applyAlignment="1">
      <alignment horizontal="left" vertical="center"/>
    </xf>
    <xf numFmtId="0" fontId="69" fillId="0" borderId="9" xfId="1916" applyFont="1" applyFill="1" applyBorder="1" applyAlignment="1" applyProtection="1">
      <alignment horizontal="center" vertical="justify" wrapText="1"/>
      <protection locked="0"/>
    </xf>
    <xf numFmtId="2" fontId="29" fillId="0" borderId="1" xfId="1916" applyNumberFormat="1" applyFont="1" applyFill="1" applyBorder="1" applyAlignment="1" applyProtection="1">
      <alignment horizontal="center" vertical="center"/>
      <protection locked="0"/>
    </xf>
    <xf numFmtId="0" fontId="29" fillId="0" borderId="1" xfId="1916" applyFont="1" applyFill="1" applyBorder="1" applyAlignment="1">
      <alignment horizontal="center" vertical="center"/>
    </xf>
    <xf numFmtId="4" fontId="29" fillId="0" borderId="1" xfId="1916" applyNumberFormat="1" applyFont="1" applyFill="1" applyBorder="1" applyAlignment="1">
      <alignment horizontal="center" vertical="center"/>
    </xf>
    <xf numFmtId="3" fontId="29" fillId="0" borderId="10" xfId="1916" applyNumberFormat="1" applyFont="1" applyFill="1" applyBorder="1" applyAlignment="1" applyProtection="1">
      <alignment horizontal="center" vertical="center"/>
    </xf>
    <xf numFmtId="170" fontId="69" fillId="0" borderId="1" xfId="1916" applyNumberFormat="1" applyFont="1" applyFill="1" applyBorder="1" applyAlignment="1" applyProtection="1">
      <alignment horizontal="center" vertical="center"/>
    </xf>
    <xf numFmtId="170" fontId="29" fillId="0" borderId="1" xfId="1916" applyNumberFormat="1" applyFont="1" applyFill="1" applyBorder="1" applyAlignment="1" applyProtection="1">
      <alignment horizontal="center" vertical="center"/>
    </xf>
    <xf numFmtId="4" fontId="29" fillId="0" borderId="1" xfId="1916" applyNumberFormat="1" applyFont="1" applyFill="1" applyBorder="1" applyAlignment="1" applyProtection="1">
      <alignment horizontal="center" vertical="center"/>
      <protection locked="0"/>
    </xf>
    <xf numFmtId="0" fontId="62" fillId="0" borderId="9" xfId="1916" applyFont="1" applyFill="1" applyBorder="1" applyAlignment="1" applyProtection="1">
      <alignment horizontal="center" vertical="center"/>
      <protection locked="0"/>
    </xf>
    <xf numFmtId="0" fontId="62" fillId="0" borderId="1" xfId="1916" applyFont="1" applyFill="1" applyBorder="1" applyAlignment="1">
      <alignment horizontal="left" vertical="center"/>
    </xf>
    <xf numFmtId="0" fontId="29" fillId="0" borderId="1" xfId="1916" applyFont="1" applyFill="1" applyBorder="1" applyAlignment="1" applyProtection="1">
      <alignment horizontal="center" vertical="center"/>
      <protection locked="0"/>
    </xf>
    <xf numFmtId="0" fontId="29" fillId="0" borderId="1" xfId="1916" applyFont="1" applyFill="1" applyBorder="1" applyAlignment="1" applyProtection="1">
      <alignment horizontal="center" vertical="center"/>
    </xf>
    <xf numFmtId="4" fontId="62" fillId="0" borderId="10" xfId="1916" applyNumberFormat="1" applyFont="1" applyFill="1" applyBorder="1" applyAlignment="1" applyProtection="1">
      <alignment horizontal="center" vertical="center"/>
    </xf>
    <xf numFmtId="0" fontId="69" fillId="0" borderId="1" xfId="1916" applyFont="1" applyFill="1" applyBorder="1" applyAlignment="1">
      <alignment horizontal="left" vertical="center" wrapText="1"/>
    </xf>
    <xf numFmtId="0" fontId="19" fillId="0" borderId="1" xfId="861" applyFont="1" applyFill="1" applyBorder="1" applyAlignment="1">
      <alignment horizontal="left" vertical="center"/>
    </xf>
    <xf numFmtId="0" fontId="22" fillId="0" borderId="27" xfId="861" applyFont="1" applyFill="1" applyBorder="1" applyAlignment="1">
      <alignment horizontal="left" vertical="center"/>
    </xf>
    <xf numFmtId="0" fontId="22" fillId="0" borderId="1" xfId="861" applyFont="1" applyFill="1" applyBorder="1" applyAlignment="1">
      <alignment horizontal="left" vertical="center"/>
    </xf>
    <xf numFmtId="16" fontId="69" fillId="0" borderId="9" xfId="1916" applyNumberFormat="1" applyFont="1" applyFill="1" applyBorder="1" applyAlignment="1" applyProtection="1">
      <alignment horizontal="center" vertical="center"/>
      <protection locked="0"/>
    </xf>
    <xf numFmtId="0" fontId="19" fillId="0" borderId="1" xfId="861" applyFont="1" applyFill="1" applyBorder="1" applyAlignment="1">
      <alignment vertical="center"/>
    </xf>
    <xf numFmtId="2" fontId="29" fillId="0" borderId="1" xfId="1916" applyNumberFormat="1" applyFont="1" applyFill="1" applyBorder="1" applyAlignment="1">
      <alignment horizontal="center" vertical="center"/>
    </xf>
    <xf numFmtId="0" fontId="23" fillId="0" borderId="1" xfId="1916" applyFont="1" applyFill="1" applyBorder="1" applyAlignment="1">
      <alignment vertical="center"/>
    </xf>
    <xf numFmtId="0" fontId="69" fillId="0" borderId="9" xfId="1916" applyFont="1" applyBorder="1" applyAlignment="1" applyProtection="1">
      <alignment horizontal="center" vertical="center"/>
      <protection locked="0"/>
    </xf>
    <xf numFmtId="3" fontId="29" fillId="0" borderId="1" xfId="1916" applyNumberFormat="1" applyFont="1" applyBorder="1" applyAlignment="1" applyProtection="1">
      <alignment horizontal="center" vertical="center"/>
    </xf>
    <xf numFmtId="2" fontId="29" fillId="0" borderId="1" xfId="1916" applyNumberFormat="1" applyFont="1" applyBorder="1" applyAlignment="1">
      <alignment horizontal="center" vertical="center"/>
    </xf>
    <xf numFmtId="0" fontId="29" fillId="0" borderId="1" xfId="1916" applyFont="1" applyBorder="1" applyAlignment="1">
      <alignment horizontal="center" vertical="center"/>
    </xf>
    <xf numFmtId="0" fontId="23" fillId="0" borderId="1" xfId="1916" applyFont="1" applyBorder="1" applyAlignment="1">
      <alignment vertical="center"/>
    </xf>
    <xf numFmtId="3" fontId="29" fillId="0" borderId="1" xfId="1916" applyNumberFormat="1" applyFont="1" applyBorder="1" applyAlignment="1">
      <alignment horizontal="center" vertical="center"/>
    </xf>
    <xf numFmtId="0" fontId="62" fillId="0" borderId="9" xfId="1916" applyFont="1" applyBorder="1" applyAlignment="1">
      <alignment horizontal="center" vertical="center"/>
    </xf>
    <xf numFmtId="0" fontId="62" fillId="0" borderId="1" xfId="1916" applyFont="1" applyBorder="1" applyAlignment="1" applyProtection="1">
      <alignment horizontal="left" vertical="center"/>
      <protection locked="0"/>
    </xf>
    <xf numFmtId="0" fontId="62" fillId="0" borderId="1" xfId="1916" applyFont="1" applyFill="1" applyBorder="1" applyAlignment="1" applyProtection="1">
      <alignment horizontal="left" vertical="center"/>
      <protection locked="0"/>
    </xf>
    <xf numFmtId="0" fontId="62" fillId="0" borderId="22" xfId="1916" applyFont="1" applyBorder="1" applyAlignment="1">
      <alignment horizontal="center" vertical="center"/>
    </xf>
    <xf numFmtId="3" fontId="32" fillId="0" borderId="16" xfId="1916" applyNumberFormat="1" applyFont="1" applyBorder="1" applyAlignment="1">
      <alignment horizontal="center" vertical="center"/>
    </xf>
    <xf numFmtId="0" fontId="32" fillId="0" borderId="16" xfId="1916" applyFont="1" applyBorder="1" applyAlignment="1">
      <alignment horizontal="center" vertical="center"/>
    </xf>
    <xf numFmtId="4" fontId="32" fillId="0" borderId="16" xfId="1916" applyNumberFormat="1" applyFont="1" applyBorder="1" applyAlignment="1" applyProtection="1">
      <alignment horizontal="center" vertical="center"/>
      <protection locked="0"/>
    </xf>
    <xf numFmtId="4" fontId="62" fillId="0" borderId="21" xfId="1916" applyNumberFormat="1" applyFont="1" applyFill="1" applyBorder="1" applyAlignment="1" applyProtection="1">
      <alignment horizontal="center" vertical="center"/>
    </xf>
    <xf numFmtId="0" fontId="14" fillId="0" borderId="20" xfId="0" applyFont="1" applyBorder="1" applyAlignment="1">
      <alignment horizontal="center"/>
    </xf>
    <xf numFmtId="3" fontId="41" fillId="0" borderId="0" xfId="1915" applyNumberFormat="1" applyFont="1" applyAlignment="1">
      <alignment horizontal="right"/>
    </xf>
    <xf numFmtId="3" fontId="41" fillId="0" borderId="0" xfId="1915" applyNumberFormat="1" applyFont="1" applyAlignment="1">
      <alignment horizontal="left"/>
    </xf>
    <xf numFmtId="0" fontId="32" fillId="0" borderId="0" xfId="1916" applyFont="1" applyBorder="1" applyAlignment="1">
      <alignment horizontal="center" vertical="center"/>
    </xf>
    <xf numFmtId="0" fontId="32" fillId="0" borderId="0" xfId="1916" applyFont="1" applyBorder="1" applyAlignment="1" applyProtection="1">
      <alignment horizontal="left" vertical="center"/>
      <protection locked="0"/>
    </xf>
    <xf numFmtId="3" fontId="32" fillId="0" borderId="0" xfId="1916" applyNumberFormat="1" applyFont="1" applyBorder="1" applyAlignment="1">
      <alignment horizontal="center" vertical="center"/>
    </xf>
    <xf numFmtId="4" fontId="32" fillId="0" borderId="0" xfId="1916" applyNumberFormat="1" applyFont="1" applyBorder="1" applyAlignment="1" applyProtection="1">
      <alignment horizontal="center" vertical="center"/>
      <protection locked="0"/>
    </xf>
    <xf numFmtId="4" fontId="62" fillId="0" borderId="0" xfId="1916" applyNumberFormat="1" applyFont="1" applyFill="1" applyBorder="1" applyAlignment="1" applyProtection="1">
      <alignment horizontal="center" vertical="center"/>
    </xf>
    <xf numFmtId="0" fontId="62" fillId="0" borderId="45" xfId="1916" applyFont="1" applyBorder="1" applyAlignment="1">
      <alignment horizontal="center" vertical="center"/>
    </xf>
    <xf numFmtId="0" fontId="62" fillId="0" borderId="18" xfId="1916" applyFont="1" applyBorder="1" applyAlignment="1" applyProtection="1">
      <alignment horizontal="left" vertical="center"/>
      <protection locked="0"/>
    </xf>
    <xf numFmtId="3" fontId="32" fillId="0" borderId="46" xfId="1916" applyNumberFormat="1" applyFont="1" applyBorder="1" applyAlignment="1">
      <alignment horizontal="center" vertical="center"/>
    </xf>
    <xf numFmtId="0" fontId="32" fillId="0" borderId="46" xfId="1916" applyFont="1" applyBorder="1" applyAlignment="1">
      <alignment horizontal="center" vertical="center"/>
    </xf>
    <xf numFmtId="4" fontId="32" fillId="0" borderId="46" xfId="1916" applyNumberFormat="1" applyFont="1" applyBorder="1" applyAlignment="1" applyProtection="1">
      <alignment horizontal="center" vertical="center"/>
      <protection locked="0"/>
    </xf>
    <xf numFmtId="4" fontId="62" fillId="0" borderId="19" xfId="1916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" fontId="10" fillId="0" borderId="18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left" vertical="center" wrapText="1"/>
    </xf>
    <xf numFmtId="171" fontId="10" fillId="0" borderId="18" xfId="0" applyNumberFormat="1" applyFont="1" applyBorder="1" applyAlignment="1">
      <alignment horizontal="center" vertical="center" wrapText="1"/>
    </xf>
    <xf numFmtId="0" fontId="10" fillId="0" borderId="1" xfId="1913" applyNumberFormat="1" applyFont="1" applyBorder="1" applyAlignment="1">
      <alignment vertical="top" wrapText="1"/>
    </xf>
    <xf numFmtId="4" fontId="10" fillId="0" borderId="1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" fontId="29" fillId="0" borderId="1" xfId="1916" applyNumberFormat="1" applyFont="1" applyFill="1" applyBorder="1" applyAlignment="1">
      <alignment horizontal="center" vertical="center"/>
    </xf>
    <xf numFmtId="4" fontId="29" fillId="0" borderId="1" xfId="1916" applyNumberFormat="1" applyFont="1" applyFill="1" applyBorder="1" applyAlignment="1">
      <alignment horizontal="left" vertical="center"/>
    </xf>
    <xf numFmtId="167" fontId="14" fillId="0" borderId="10" xfId="0" applyNumberFormat="1" applyFont="1" applyBorder="1" applyAlignment="1">
      <alignment vertical="center"/>
    </xf>
    <xf numFmtId="0" fontId="14" fillId="0" borderId="20" xfId="0" applyFont="1" applyBorder="1" applyAlignment="1">
      <alignment wrapText="1"/>
    </xf>
    <xf numFmtId="0" fontId="46" fillId="0" borderId="1" xfId="1038" applyFont="1" applyFill="1" applyBorder="1" applyAlignment="1">
      <alignment vertical="center" wrapText="1"/>
    </xf>
    <xf numFmtId="168" fontId="46" fillId="0" borderId="1" xfId="1918" applyNumberFormat="1" applyFont="1" applyFill="1" applyBorder="1" applyAlignment="1">
      <alignment horizontal="center"/>
    </xf>
    <xf numFmtId="167" fontId="46" fillId="0" borderId="1" xfId="1946" applyFont="1" applyFill="1" applyBorder="1" applyAlignment="1">
      <alignment horizontal="center"/>
    </xf>
    <xf numFmtId="167" fontId="10" fillId="0" borderId="47" xfId="0" applyNumberFormat="1" applyFont="1" applyBorder="1" applyAlignment="1">
      <alignment horizontal="center" vertical="center"/>
    </xf>
    <xf numFmtId="2" fontId="23" fillId="0" borderId="44" xfId="0" applyNumberFormat="1" applyFont="1" applyBorder="1" applyAlignment="1">
      <alignment horizontal="center"/>
    </xf>
    <xf numFmtId="4" fontId="11" fillId="0" borderId="10" xfId="1912" applyNumberFormat="1" applyFont="1" applyFill="1" applyBorder="1" applyAlignment="1">
      <alignment horizontal="center" vertical="center"/>
    </xf>
    <xf numFmtId="0" fontId="23" fillId="0" borderId="1" xfId="1919" applyFont="1" applyFill="1" applyBorder="1" applyAlignment="1">
      <alignment horizontal="left" vertical="center"/>
    </xf>
    <xf numFmtId="0" fontId="23" fillId="0" borderId="1" xfId="861" applyFont="1" applyFill="1" applyBorder="1" applyAlignment="1">
      <alignment horizontal="left" vertical="center"/>
    </xf>
    <xf numFmtId="0" fontId="46" fillId="0" borderId="9" xfId="861" applyFont="1" applyFill="1" applyBorder="1" applyAlignment="1">
      <alignment horizontal="center" vertical="center"/>
    </xf>
    <xf numFmtId="0" fontId="11" fillId="0" borderId="1" xfId="1912" applyFont="1" applyFill="1" applyBorder="1" applyAlignment="1">
      <alignment horizontal="left" vertical="center"/>
    </xf>
    <xf numFmtId="0" fontId="11" fillId="0" borderId="1" xfId="1912" applyFont="1" applyFill="1" applyBorder="1" applyAlignment="1">
      <alignment horizontal="center" vertical="center"/>
    </xf>
    <xf numFmtId="3" fontId="10" fillId="0" borderId="1" xfId="1912" applyNumberFormat="1" applyFont="1" applyFill="1" applyBorder="1" applyAlignment="1">
      <alignment horizontal="center" vertical="center"/>
    </xf>
    <xf numFmtId="3" fontId="10" fillId="0" borderId="1" xfId="1912" applyNumberFormat="1" applyFont="1" applyFill="1" applyBorder="1" applyAlignment="1">
      <alignment horizontal="center" vertical="center" wrapText="1"/>
    </xf>
    <xf numFmtId="0" fontId="10" fillId="0" borderId="1" xfId="1912" applyFont="1" applyFill="1" applyBorder="1" applyAlignment="1">
      <alignment horizontal="center" vertical="center"/>
    </xf>
    <xf numFmtId="4" fontId="10" fillId="0" borderId="10" xfId="1912" applyNumberFormat="1" applyFont="1" applyFill="1" applyBorder="1" applyAlignment="1">
      <alignment horizontal="center" vertical="center"/>
    </xf>
    <xf numFmtId="0" fontId="10" fillId="0" borderId="1" xfId="1912" applyFont="1" applyFill="1" applyBorder="1" applyAlignment="1">
      <alignment horizontal="left" vertical="center"/>
    </xf>
    <xf numFmtId="3" fontId="23" fillId="0" borderId="1" xfId="1919" applyNumberFormat="1" applyFont="1" applyFill="1" applyBorder="1" applyAlignment="1">
      <alignment horizontal="center" vertical="center"/>
    </xf>
    <xf numFmtId="0" fontId="23" fillId="0" borderId="1" xfId="1919" applyFont="1" applyFill="1" applyBorder="1" applyAlignment="1">
      <alignment vertical="center" wrapText="1"/>
    </xf>
    <xf numFmtId="0" fontId="23" fillId="0" borderId="1" xfId="1912" applyFont="1" applyFill="1" applyBorder="1" applyAlignment="1">
      <alignment vertical="center"/>
    </xf>
    <xf numFmtId="0" fontId="23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/>
    </xf>
    <xf numFmtId="173" fontId="41" fillId="0" borderId="19" xfId="1923" applyNumberFormat="1" applyFont="1" applyFill="1" applyBorder="1" applyAlignment="1">
      <alignment horizontal="center" vertical="top" wrapText="1"/>
    </xf>
    <xf numFmtId="0" fontId="41" fillId="0" borderId="9" xfId="1923" applyFont="1" applyBorder="1" applyAlignment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11" fillId="0" borderId="11" xfId="1923" applyFont="1" applyBorder="1" applyAlignment="1">
      <alignment horizontal="center"/>
    </xf>
    <xf numFmtId="0" fontId="11" fillId="0" borderId="14" xfId="1923" applyFont="1" applyFill="1" applyBorder="1"/>
    <xf numFmtId="4" fontId="18" fillId="0" borderId="21" xfId="1923" applyNumberFormat="1" applyFont="1" applyFill="1" applyBorder="1" applyAlignment="1">
      <alignment horizontal="center"/>
    </xf>
    <xf numFmtId="173" fontId="23" fillId="0" borderId="0" xfId="1923" applyNumberFormat="1" applyFont="1"/>
    <xf numFmtId="0" fontId="86" fillId="0" borderId="20" xfId="0" applyFont="1" applyFill="1" applyBorder="1" applyAlignment="1"/>
    <xf numFmtId="0" fontId="30" fillId="0" borderId="20" xfId="0" applyFont="1" applyFill="1" applyBorder="1" applyAlignment="1"/>
    <xf numFmtId="0" fontId="14" fillId="0" borderId="0" xfId="0" applyFont="1" applyAlignment="1"/>
    <xf numFmtId="0" fontId="86" fillId="0" borderId="0" xfId="0" applyFont="1" applyFill="1" applyBorder="1" applyAlignment="1"/>
    <xf numFmtId="0" fontId="86" fillId="0" borderId="0" xfId="0" applyFont="1" applyBorder="1" applyAlignment="1"/>
    <xf numFmtId="4" fontId="10" fillId="0" borderId="1" xfId="1910" applyNumberFormat="1" applyFont="1" applyFill="1" applyBorder="1" applyAlignment="1">
      <alignment horizontal="center" vertical="center"/>
    </xf>
    <xf numFmtId="4" fontId="10" fillId="0" borderId="10" xfId="1916" applyNumberFormat="1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49" fontId="11" fillId="0" borderId="48" xfId="0" applyNumberFormat="1" applyFont="1" applyBorder="1" applyAlignment="1">
      <alignment horizontal="center" vertical="center"/>
    </xf>
    <xf numFmtId="2" fontId="13" fillId="0" borderId="41" xfId="0" applyNumberFormat="1" applyFont="1" applyFill="1" applyBorder="1" applyAlignment="1">
      <alignment horizontal="center" vertical="center" wrapText="1"/>
    </xf>
    <xf numFmtId="2" fontId="13" fillId="0" borderId="41" xfId="0" applyNumberFormat="1" applyFont="1" applyBorder="1" applyAlignment="1">
      <alignment horizontal="center" vertical="center"/>
    </xf>
    <xf numFmtId="2" fontId="13" fillId="0" borderId="49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/>
    </xf>
    <xf numFmtId="2" fontId="10" fillId="0" borderId="18" xfId="0" applyNumberFormat="1" applyFont="1" applyFill="1" applyBorder="1" applyAlignment="1">
      <alignment vertical="center" wrapText="1"/>
    </xf>
    <xf numFmtId="2" fontId="10" fillId="0" borderId="18" xfId="0" applyNumberFormat="1" applyFont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49" fontId="11" fillId="0" borderId="9" xfId="0" applyNumberFormat="1" applyFont="1" applyBorder="1" applyAlignment="1">
      <alignment horizont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43" fillId="0" borderId="27" xfId="0" applyFont="1" applyFill="1" applyBorder="1" applyAlignment="1">
      <alignment vertical="center" wrapText="1"/>
    </xf>
    <xf numFmtId="4" fontId="14" fillId="0" borderId="47" xfId="0" applyNumberFormat="1" applyFont="1" applyBorder="1" applyAlignment="1">
      <alignment horizontal="center"/>
    </xf>
    <xf numFmtId="0" fontId="14" fillId="0" borderId="27" xfId="0" applyFont="1" applyFill="1" applyBorder="1" applyAlignment="1">
      <alignment vertical="center" wrapText="1"/>
    </xf>
    <xf numFmtId="4" fontId="14" fillId="0" borderId="47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/>
    <xf numFmtId="0" fontId="23" fillId="0" borderId="1" xfId="0" applyFont="1" applyBorder="1" applyAlignment="1">
      <alignment horizontal="left"/>
    </xf>
    <xf numFmtId="49" fontId="23" fillId="0" borderId="1" xfId="0" applyNumberFormat="1" applyFont="1" applyBorder="1" applyAlignment="1">
      <alignment wrapText="1"/>
    </xf>
    <xf numFmtId="2" fontId="11" fillId="0" borderId="1" xfId="0" applyNumberFormat="1" applyFont="1" applyFill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vertical="center" wrapText="1"/>
    </xf>
    <xf numFmtId="4" fontId="11" fillId="0" borderId="10" xfId="1946" applyNumberFormat="1" applyFont="1" applyFill="1" applyBorder="1" applyAlignment="1">
      <alignment horizontal="center" vertical="center"/>
    </xf>
    <xf numFmtId="2" fontId="13" fillId="0" borderId="16" xfId="0" applyNumberFormat="1" applyFont="1" applyBorder="1"/>
    <xf numFmtId="2" fontId="10" fillId="0" borderId="1" xfId="0" applyNumberFormat="1" applyFont="1" applyBorder="1"/>
    <xf numFmtId="49" fontId="10" fillId="0" borderId="11" xfId="0" applyNumberFormat="1" applyFont="1" applyBorder="1" applyAlignment="1">
      <alignment horizontal="center"/>
    </xf>
    <xf numFmtId="2" fontId="10" fillId="0" borderId="14" xfId="0" applyNumberFormat="1" applyFont="1" applyBorder="1"/>
    <xf numFmtId="2" fontId="10" fillId="0" borderId="14" xfId="0" applyNumberFormat="1" applyFont="1" applyBorder="1" applyAlignment="1">
      <alignment horizontal="center"/>
    </xf>
    <xf numFmtId="2" fontId="13" fillId="0" borderId="21" xfId="0" applyNumberFormat="1" applyFont="1" applyBorder="1" applyAlignment="1">
      <alignment horizontal="center"/>
    </xf>
    <xf numFmtId="0" fontId="14" fillId="0" borderId="0" xfId="1916" applyFont="1" applyBorder="1" applyAlignment="1">
      <alignment horizontal="left"/>
    </xf>
    <xf numFmtId="2" fontId="23" fillId="0" borderId="1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 applyAlignment="1">
      <alignment vertical="center" wrapText="1"/>
    </xf>
    <xf numFmtId="4" fontId="23" fillId="0" borderId="1" xfId="0" applyNumberFormat="1" applyFont="1" applyFill="1" applyBorder="1"/>
    <xf numFmtId="2" fontId="14" fillId="0" borderId="0" xfId="0" applyNumberFormat="1" applyFont="1" applyBorder="1" applyAlignment="1">
      <alignment vertical="center" wrapText="1"/>
    </xf>
    <xf numFmtId="0" fontId="23" fillId="0" borderId="27" xfId="0" applyFont="1" applyBorder="1" applyAlignment="1">
      <alignment horizontal="center" vertical="center"/>
    </xf>
    <xf numFmtId="167" fontId="23" fillId="0" borderId="10" xfId="0" applyNumberFormat="1" applyFont="1" applyBorder="1"/>
    <xf numFmtId="167" fontId="23" fillId="0" borderId="32" xfId="0" applyNumberFormat="1" applyFont="1" applyBorder="1"/>
    <xf numFmtId="0" fontId="14" fillId="0" borderId="1" xfId="0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vertical="center"/>
    </xf>
    <xf numFmtId="1" fontId="23" fillId="0" borderId="1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3" fontId="23" fillId="2" borderId="1" xfId="0" applyNumberFormat="1" applyFont="1" applyFill="1" applyBorder="1" applyAlignment="1">
      <alignment horizontal="right" vertical="center" wrapText="1"/>
    </xf>
    <xf numFmtId="2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/>
    </xf>
    <xf numFmtId="0" fontId="87" fillId="0" borderId="0" xfId="1922" applyFont="1" applyFill="1" applyBorder="1" applyAlignment="1"/>
    <xf numFmtId="0" fontId="88" fillId="0" borderId="0" xfId="1922" applyFont="1" applyFill="1" applyBorder="1"/>
    <xf numFmtId="0" fontId="88" fillId="0" borderId="0" xfId="1922" applyFont="1" applyFill="1" applyBorder="1" applyAlignment="1">
      <alignment horizontal="center"/>
    </xf>
    <xf numFmtId="4" fontId="88" fillId="0" borderId="0" xfId="1922" applyNumberFormat="1" applyFont="1" applyBorder="1"/>
    <xf numFmtId="0" fontId="88" fillId="0" borderId="0" xfId="1922" applyFont="1" applyBorder="1"/>
    <xf numFmtId="0" fontId="10" fillId="0" borderId="50" xfId="1922" applyFont="1" applyFill="1" applyBorder="1" applyAlignment="1">
      <alignment vertical="center" wrapText="1"/>
    </xf>
    <xf numFmtId="0" fontId="11" fillId="0" borderId="51" xfId="1922" applyFont="1" applyFill="1" applyBorder="1" applyAlignment="1">
      <alignment horizontal="center" vertical="center" wrapText="1"/>
    </xf>
    <xf numFmtId="0" fontId="11" fillId="0" borderId="51" xfId="1922" applyFont="1" applyFill="1" applyBorder="1" applyAlignment="1">
      <alignment vertical="center" wrapText="1"/>
    </xf>
    <xf numFmtId="3" fontId="11" fillId="0" borderId="51" xfId="1922" applyNumberFormat="1" applyFont="1" applyBorder="1" applyAlignment="1">
      <alignment horizontal="center"/>
    </xf>
    <xf numFmtId="4" fontId="11" fillId="0" borderId="51" xfId="1922" applyNumberFormat="1" applyFont="1" applyBorder="1" applyAlignment="1">
      <alignment vertical="center" wrapText="1"/>
    </xf>
    <xf numFmtId="0" fontId="11" fillId="0" borderId="52" xfId="1922" applyFont="1" applyBorder="1" applyAlignment="1">
      <alignment horizontal="center"/>
    </xf>
    <xf numFmtId="0" fontId="37" fillId="0" borderId="53" xfId="1922" applyFont="1" applyFill="1" applyBorder="1" applyAlignment="1">
      <alignment vertical="center" wrapText="1"/>
    </xf>
    <xf numFmtId="0" fontId="37" fillId="0" borderId="54" xfId="1922" applyFont="1" applyFill="1" applyBorder="1" applyAlignment="1">
      <alignment horizontal="left" vertical="center" wrapText="1"/>
    </xf>
    <xf numFmtId="0" fontId="37" fillId="0" borderId="54" xfId="1922" applyFont="1" applyFill="1" applyBorder="1" applyAlignment="1">
      <alignment horizontal="center" vertical="center" wrapText="1"/>
    </xf>
    <xf numFmtId="4" fontId="37" fillId="0" borderId="54" xfId="1922" applyNumberFormat="1" applyFont="1" applyBorder="1" applyAlignment="1">
      <alignment horizontal="center"/>
    </xf>
    <xf numFmtId="4" fontId="37" fillId="0" borderId="55" xfId="1922" applyNumberFormat="1" applyFont="1" applyBorder="1" applyAlignment="1">
      <alignment horizontal="right" wrapText="1"/>
    </xf>
    <xf numFmtId="0" fontId="90" fillId="0" borderId="0" xfId="0" applyFont="1"/>
    <xf numFmtId="0" fontId="14" fillId="0" borderId="53" xfId="1922" applyFont="1" applyFill="1" applyBorder="1" applyAlignment="1">
      <alignment vertical="center" wrapText="1"/>
    </xf>
    <xf numFmtId="0" fontId="23" fillId="0" borderId="54" xfId="1922" applyFont="1" applyFill="1" applyBorder="1" applyAlignment="1">
      <alignment horizontal="left" vertical="center" wrapText="1"/>
    </xf>
    <xf numFmtId="1" fontId="37" fillId="0" borderId="54" xfId="1922" applyNumberFormat="1" applyFont="1" applyFill="1" applyBorder="1" applyAlignment="1">
      <alignment horizontal="center" vertical="center" wrapText="1"/>
    </xf>
    <xf numFmtId="0" fontId="14" fillId="0" borderId="54" xfId="1922" applyFont="1" applyFill="1" applyBorder="1" applyAlignment="1">
      <alignment horizontal="center" vertical="center" wrapText="1"/>
    </xf>
    <xf numFmtId="4" fontId="59" fillId="0" borderId="55" xfId="1922" applyNumberFormat="1" applyFont="1" applyBorder="1" applyAlignment="1">
      <alignment horizontal="right" wrapText="1"/>
    </xf>
    <xf numFmtId="1" fontId="14" fillId="0" borderId="54" xfId="1922" applyNumberFormat="1" applyFont="1" applyFill="1" applyBorder="1" applyAlignment="1">
      <alignment horizontal="center" vertical="center" wrapText="1"/>
    </xf>
    <xf numFmtId="4" fontId="37" fillId="0" borderId="54" xfId="1922" applyNumberFormat="1" applyFont="1" applyFill="1" applyBorder="1" applyAlignment="1">
      <alignment horizontal="center" vertical="center" wrapText="1"/>
    </xf>
    <xf numFmtId="4" fontId="37" fillId="0" borderId="55" xfId="1922" applyNumberFormat="1" applyFont="1" applyBorder="1" applyAlignment="1">
      <alignment horizontal="right" vertical="center" wrapText="1"/>
    </xf>
    <xf numFmtId="4" fontId="37" fillId="0" borderId="54" xfId="1922" applyNumberFormat="1" applyFont="1" applyFill="1" applyBorder="1" applyAlignment="1">
      <alignment horizontal="center" vertical="center"/>
    </xf>
    <xf numFmtId="4" fontId="37" fillId="0" borderId="54" xfId="1922" applyNumberFormat="1" applyFont="1" applyFill="1" applyBorder="1" applyAlignment="1">
      <alignment horizontal="center"/>
    </xf>
    <xf numFmtId="0" fontId="37" fillId="0" borderId="56" xfId="1922" applyFont="1" applyFill="1" applyBorder="1" applyAlignment="1">
      <alignment vertical="center" wrapText="1"/>
    </xf>
    <xf numFmtId="0" fontId="23" fillId="0" borderId="57" xfId="1922" applyFont="1" applyFill="1" applyBorder="1" applyAlignment="1">
      <alignment horizontal="left" vertical="center" wrapText="1"/>
    </xf>
    <xf numFmtId="1" fontId="37" fillId="0" borderId="57" xfId="1922" applyNumberFormat="1" applyFont="1" applyFill="1" applyBorder="1" applyAlignment="1">
      <alignment horizontal="center" vertical="center" wrapText="1"/>
    </xf>
    <xf numFmtId="0" fontId="37" fillId="0" borderId="57" xfId="1922" applyFont="1" applyFill="1" applyBorder="1" applyAlignment="1">
      <alignment horizontal="center" vertical="center" wrapText="1"/>
    </xf>
    <xf numFmtId="0" fontId="37" fillId="0" borderId="57" xfId="1922" applyFont="1" applyFill="1" applyBorder="1" applyAlignment="1">
      <alignment horizontal="left" vertical="center" wrapText="1"/>
    </xf>
    <xf numFmtId="4" fontId="37" fillId="0" borderId="57" xfId="1922" applyNumberFormat="1" applyFont="1" applyBorder="1" applyAlignment="1">
      <alignment horizontal="center"/>
    </xf>
    <xf numFmtId="4" fontId="37" fillId="0" borderId="58" xfId="1922" applyNumberFormat="1" applyFont="1" applyBorder="1" applyAlignment="1">
      <alignment horizontal="right" wrapText="1"/>
    </xf>
    <xf numFmtId="0" fontId="91" fillId="0" borderId="54" xfId="1922" applyFont="1" applyFill="1" applyBorder="1" applyAlignment="1">
      <alignment wrapText="1"/>
    </xf>
    <xf numFmtId="0" fontId="92" fillId="0" borderId="54" xfId="1922" applyFont="1" applyFill="1" applyBorder="1" applyAlignment="1">
      <alignment horizontal="center" wrapText="1"/>
    </xf>
    <xf numFmtId="0" fontId="93" fillId="0" borderId="57" xfId="1922" applyFont="1" applyFill="1" applyBorder="1" applyAlignment="1">
      <alignment wrapText="1"/>
    </xf>
    <xf numFmtId="0" fontId="92" fillId="0" borderId="57" xfId="1922" applyFont="1" applyFill="1" applyBorder="1" applyAlignment="1">
      <alignment horizontal="center" wrapText="1"/>
    </xf>
    <xf numFmtId="4" fontId="14" fillId="0" borderId="58" xfId="1922" applyNumberFormat="1" applyFont="1" applyBorder="1" applyAlignment="1">
      <alignment horizontal="right" wrapText="1"/>
    </xf>
    <xf numFmtId="0" fontId="91" fillId="0" borderId="57" xfId="1922" applyFont="1" applyFill="1" applyBorder="1" applyAlignment="1">
      <alignment wrapText="1"/>
    </xf>
    <xf numFmtId="0" fontId="21" fillId="0" borderId="59" xfId="1922" applyFont="1" applyFill="1" applyBorder="1" applyAlignment="1">
      <alignment wrapText="1"/>
    </xf>
    <xf numFmtId="0" fontId="12" fillId="0" borderId="60" xfId="0" applyFont="1" applyBorder="1" applyAlignment="1">
      <alignment wrapText="1"/>
    </xf>
    <xf numFmtId="0" fontId="21" fillId="0" borderId="60" xfId="1922" applyFont="1" applyFill="1" applyBorder="1" applyAlignment="1">
      <alignment horizontal="center" wrapText="1"/>
    </xf>
    <xf numFmtId="4" fontId="37" fillId="0" borderId="60" xfId="1922" applyNumberFormat="1" applyFont="1" applyBorder="1" applyAlignment="1">
      <alignment horizontal="center"/>
    </xf>
    <xf numFmtId="4" fontId="94" fillId="0" borderId="60" xfId="1922" applyNumberFormat="1" applyFont="1" applyFill="1" applyBorder="1"/>
    <xf numFmtId="4" fontId="94" fillId="0" borderId="61" xfId="1922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94" fillId="0" borderId="0" xfId="1922" applyNumberFormat="1" applyFont="1" applyFill="1" applyBorder="1"/>
    <xf numFmtId="4" fontId="88" fillId="0" borderId="0" xfId="1922" applyNumberFormat="1" applyFont="1" applyFill="1" applyBorder="1"/>
    <xf numFmtId="2" fontId="88" fillId="0" borderId="0" xfId="1922" applyNumberFormat="1" applyFont="1" applyFill="1" applyBorder="1" applyAlignment="1">
      <alignment wrapText="1"/>
    </xf>
    <xf numFmtId="0" fontId="95" fillId="0" borderId="0" xfId="0" applyFont="1" applyAlignment="1"/>
    <xf numFmtId="0" fontId="82" fillId="0" borderId="0" xfId="0" applyFont="1" applyBorder="1" applyAlignment="1">
      <alignment wrapText="1"/>
    </xf>
    <xf numFmtId="0" fontId="82" fillId="0" borderId="0" xfId="1922" applyFont="1" applyFill="1" applyBorder="1" applyAlignment="1">
      <alignment horizontal="center" wrapText="1"/>
    </xf>
    <xf numFmtId="4" fontId="82" fillId="0" borderId="0" xfId="1922" applyNumberFormat="1" applyFont="1" applyFill="1" applyBorder="1"/>
    <xf numFmtId="4" fontId="0" fillId="0" borderId="0" xfId="0" applyNumberFormat="1"/>
    <xf numFmtId="4" fontId="82" fillId="0" borderId="0" xfId="1922" applyNumberFormat="1" applyFont="1" applyFill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4" fontId="23" fillId="0" borderId="19" xfId="0" applyNumberFormat="1" applyFont="1" applyFill="1" applyBorder="1" applyAlignment="1">
      <alignment horizontal="center" vertical="center" wrapText="1"/>
    </xf>
    <xf numFmtId="4" fontId="23" fillId="0" borderId="32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47" fillId="0" borderId="9" xfId="1925" applyFont="1" applyFill="1" applyBorder="1" applyAlignment="1">
      <alignment horizontal="center" vertical="center" wrapText="1"/>
    </xf>
    <xf numFmtId="4" fontId="47" fillId="0" borderId="1" xfId="1925" applyNumberFormat="1" applyFont="1" applyFill="1" applyBorder="1" applyAlignment="1">
      <alignment horizontal="center" vertical="center" wrapText="1"/>
    </xf>
    <xf numFmtId="4" fontId="47" fillId="0" borderId="10" xfId="1925" applyNumberFormat="1" applyFont="1" applyFill="1" applyBorder="1" applyAlignment="1">
      <alignment horizontal="center" vertical="center" wrapText="1"/>
    </xf>
    <xf numFmtId="167" fontId="47" fillId="0" borderId="0" xfId="1924" applyNumberFormat="1" applyFont="1" applyFill="1" applyAlignment="1">
      <alignment horizontal="center" vertical="center" wrapText="1"/>
    </xf>
    <xf numFmtId="167" fontId="47" fillId="0" borderId="0" xfId="1925" applyNumberFormat="1" applyFont="1" applyFill="1" applyAlignment="1">
      <alignment horizontal="center" vertical="center" wrapText="1"/>
    </xf>
    <xf numFmtId="0" fontId="47" fillId="0" borderId="0" xfId="1924" applyFont="1" applyFill="1" applyAlignment="1">
      <alignment horizontal="center" vertical="center" wrapText="1"/>
    </xf>
    <xf numFmtId="0" fontId="62" fillId="0" borderId="0" xfId="1916" applyFont="1" applyBorder="1" applyAlignment="1" applyProtection="1">
      <alignment horizontal="left" vertical="center" wrapText="1"/>
      <protection locked="0"/>
    </xf>
    <xf numFmtId="0" fontId="22" fillId="0" borderId="0" xfId="1916" applyFont="1" applyAlignment="1">
      <alignment horizontal="right" vertical="center"/>
    </xf>
    <xf numFmtId="0" fontId="62" fillId="0" borderId="0" xfId="1916" applyFont="1" applyBorder="1" applyAlignment="1" applyProtection="1">
      <alignment vertical="center" wrapText="1"/>
      <protection locked="0"/>
    </xf>
    <xf numFmtId="0" fontId="22" fillId="0" borderId="0" xfId="1916" applyFont="1" applyAlignment="1">
      <alignment vertical="center"/>
    </xf>
    <xf numFmtId="0" fontId="62" fillId="0" borderId="0" xfId="1916" applyFont="1" applyAlignment="1">
      <alignment horizontal="center" vertical="center"/>
    </xf>
    <xf numFmtId="3" fontId="62" fillId="0" borderId="0" xfId="1916" applyNumberFormat="1" applyFont="1" applyAlignment="1">
      <alignment horizontal="center" vertical="center"/>
    </xf>
    <xf numFmtId="0" fontId="22" fillId="0" borderId="0" xfId="1916" applyFont="1" applyBorder="1" applyAlignment="1" applyProtection="1">
      <alignment horizontal="right" vertical="center" wrapText="1"/>
      <protection locked="0"/>
    </xf>
    <xf numFmtId="4" fontId="62" fillId="0" borderId="0" xfId="1916" applyNumberFormat="1" applyFont="1" applyAlignment="1">
      <alignment horizontal="center" vertical="center"/>
    </xf>
    <xf numFmtId="0" fontId="62" fillId="0" borderId="0" xfId="1916" applyFont="1" applyBorder="1" applyAlignment="1" applyProtection="1">
      <alignment horizontal="right" vertical="center" wrapText="1"/>
      <protection locked="0"/>
    </xf>
    <xf numFmtId="4" fontId="22" fillId="0" borderId="0" xfId="1916" applyNumberFormat="1" applyFont="1" applyAlignment="1">
      <alignment horizontal="center" vertical="center"/>
    </xf>
    <xf numFmtId="3" fontId="69" fillId="9" borderId="12" xfId="1916" applyNumberFormat="1" applyFont="1" applyFill="1" applyBorder="1" applyAlignment="1" applyProtection="1">
      <alignment horizontal="center" vertical="center" wrapText="1"/>
      <protection locked="0"/>
    </xf>
    <xf numFmtId="0" fontId="69" fillId="9" borderId="12" xfId="1916" applyFont="1" applyFill="1" applyBorder="1" applyAlignment="1" applyProtection="1">
      <alignment horizontal="center" vertical="center" wrapText="1"/>
      <protection locked="0"/>
    </xf>
    <xf numFmtId="4" fontId="69" fillId="9" borderId="12" xfId="1916" applyNumberFormat="1" applyFont="1" applyFill="1" applyBorder="1" applyAlignment="1" applyProtection="1">
      <alignment horizontal="center" vertical="center" wrapText="1"/>
      <protection locked="0"/>
    </xf>
    <xf numFmtId="3" fontId="69" fillId="9" borderId="13" xfId="1916" applyNumberFormat="1" applyFont="1" applyFill="1" applyBorder="1" applyAlignment="1" applyProtection="1">
      <alignment horizontal="center" vertical="center" wrapText="1"/>
      <protection locked="0"/>
    </xf>
    <xf numFmtId="3" fontId="69" fillId="9" borderId="1" xfId="1916" applyNumberFormat="1" applyFont="1" applyFill="1" applyBorder="1" applyAlignment="1" applyProtection="1">
      <alignment horizontal="center" vertical="center" wrapText="1"/>
      <protection locked="0"/>
    </xf>
    <xf numFmtId="0" fontId="69" fillId="9" borderId="1" xfId="1916" applyFont="1" applyFill="1" applyBorder="1" applyAlignment="1" applyProtection="1">
      <alignment horizontal="center" vertical="center" wrapText="1"/>
      <protection locked="0"/>
    </xf>
    <xf numFmtId="0" fontId="69" fillId="9" borderId="1" xfId="1916" applyFont="1" applyFill="1" applyBorder="1" applyAlignment="1" applyProtection="1">
      <alignment horizontal="center" vertical="center"/>
      <protection locked="0"/>
    </xf>
    <xf numFmtId="4" fontId="69" fillId="9" borderId="1" xfId="1916" applyNumberFormat="1" applyFont="1" applyFill="1" applyBorder="1" applyAlignment="1" applyProtection="1">
      <alignment horizontal="center" vertical="center"/>
      <protection locked="0"/>
    </xf>
    <xf numFmtId="3" fontId="69" fillId="9" borderId="1" xfId="1916" applyNumberFormat="1" applyFont="1" applyFill="1" applyBorder="1" applyAlignment="1" applyProtection="1">
      <alignment horizontal="center" vertical="center"/>
      <protection locked="0"/>
    </xf>
    <xf numFmtId="3" fontId="69" fillId="9" borderId="10" xfId="1916" applyNumberFormat="1" applyFont="1" applyFill="1" applyBorder="1" applyAlignment="1" applyProtection="1">
      <alignment horizontal="center" vertical="center"/>
      <protection locked="0"/>
    </xf>
    <xf numFmtId="0" fontId="69" fillId="9" borderId="9" xfId="1916" applyFont="1" applyFill="1" applyBorder="1" applyAlignment="1" applyProtection="1">
      <alignment horizontal="center" vertical="justify" wrapText="1"/>
      <protection locked="0"/>
    </xf>
    <xf numFmtId="0" fontId="69" fillId="9" borderId="1" xfId="1916" applyFont="1" applyFill="1" applyBorder="1" applyAlignment="1" applyProtection="1">
      <alignment horizontal="center" vertical="justify" wrapText="1"/>
      <protection locked="0"/>
    </xf>
    <xf numFmtId="49" fontId="69" fillId="9" borderId="1" xfId="1916" applyNumberFormat="1" applyFont="1" applyFill="1" applyBorder="1" applyAlignment="1" applyProtection="1">
      <alignment horizontal="center" vertical="top" wrapText="1"/>
      <protection locked="0"/>
    </xf>
    <xf numFmtId="49" fontId="69" fillId="9" borderId="10" xfId="1916" applyNumberFormat="1" applyFont="1" applyFill="1" applyBorder="1" applyAlignment="1" applyProtection="1">
      <alignment horizontal="center" vertical="top" wrapText="1"/>
      <protection locked="0"/>
    </xf>
    <xf numFmtId="49" fontId="69" fillId="0" borderId="1" xfId="1916" applyNumberFormat="1" applyFont="1" applyFill="1" applyBorder="1" applyAlignment="1" applyProtection="1">
      <alignment horizontal="center" vertical="top" wrapText="1"/>
      <protection locked="0"/>
    </xf>
    <xf numFmtId="4" fontId="69" fillId="0" borderId="1" xfId="1916" applyNumberFormat="1" applyFont="1" applyFill="1" applyBorder="1" applyAlignment="1" applyProtection="1">
      <alignment horizontal="center" vertical="center"/>
      <protection locked="0"/>
    </xf>
    <xf numFmtId="4" fontId="69" fillId="0" borderId="1" xfId="1916" applyNumberFormat="1" applyFont="1" applyFill="1" applyBorder="1" applyAlignment="1">
      <alignment horizontal="center" vertical="center"/>
    </xf>
    <xf numFmtId="0" fontId="69" fillId="2" borderId="9" xfId="1916" applyFont="1" applyFill="1" applyBorder="1" applyAlignment="1" applyProtection="1">
      <alignment horizontal="center" vertical="center" wrapText="1"/>
      <protection locked="0"/>
    </xf>
    <xf numFmtId="0" fontId="69" fillId="2" borderId="1" xfId="1916" applyFont="1" applyFill="1" applyBorder="1" applyAlignment="1" applyProtection="1">
      <alignment horizontal="center" vertical="justify" wrapText="1"/>
      <protection locked="0"/>
    </xf>
    <xf numFmtId="49" fontId="69" fillId="2" borderId="1" xfId="1916" applyNumberFormat="1" applyFont="1" applyFill="1" applyBorder="1" applyAlignment="1" applyProtection="1">
      <alignment horizontal="center" vertical="top" wrapText="1"/>
      <protection locked="0"/>
    </xf>
    <xf numFmtId="49" fontId="69" fillId="2" borderId="27" xfId="1916" applyNumberFormat="1" applyFont="1" applyFill="1" applyBorder="1" applyAlignment="1" applyProtection="1">
      <alignment horizontal="center" vertical="top" wrapText="1"/>
      <protection locked="0"/>
    </xf>
    <xf numFmtId="3" fontId="96" fillId="0" borderId="1" xfId="1916" applyNumberFormat="1" applyFont="1" applyFill="1" applyBorder="1" applyAlignment="1" applyProtection="1">
      <alignment horizontal="center" vertical="center"/>
    </xf>
    <xf numFmtId="14" fontId="69" fillId="0" borderId="9" xfId="1916" applyNumberFormat="1" applyFont="1" applyBorder="1" applyAlignment="1" applyProtection="1">
      <alignment horizontal="center" vertical="center"/>
      <protection locked="0"/>
    </xf>
    <xf numFmtId="3" fontId="62" fillId="0" borderId="1" xfId="1916" applyNumberFormat="1" applyFont="1" applyBorder="1" applyAlignment="1">
      <alignment horizontal="center" vertical="center"/>
    </xf>
    <xf numFmtId="4" fontId="62" fillId="0" borderId="1" xfId="1916" applyNumberFormat="1" applyFont="1" applyBorder="1" applyAlignment="1">
      <alignment horizontal="center" vertical="center"/>
    </xf>
    <xf numFmtId="4" fontId="62" fillId="0" borderId="1" xfId="1916" applyNumberFormat="1" applyFont="1" applyBorder="1" applyAlignment="1" applyProtection="1">
      <alignment horizontal="center" vertical="center"/>
      <protection locked="0"/>
    </xf>
    <xf numFmtId="4" fontId="62" fillId="0" borderId="10" xfId="1916" applyNumberFormat="1" applyFont="1" applyBorder="1" applyAlignment="1">
      <alignment horizontal="center" vertical="center"/>
    </xf>
    <xf numFmtId="0" fontId="62" fillId="0" borderId="11" xfId="1916" applyFont="1" applyBorder="1" applyAlignment="1">
      <alignment horizontal="center" vertical="center"/>
    </xf>
    <xf numFmtId="0" fontId="62" fillId="0" borderId="14" xfId="1916" applyFont="1" applyBorder="1" applyAlignment="1" applyProtection="1">
      <alignment horizontal="left" vertical="center"/>
      <protection locked="0"/>
    </xf>
    <xf numFmtId="3" fontId="62" fillId="0" borderId="14" xfId="1916" applyNumberFormat="1" applyFont="1" applyBorder="1" applyAlignment="1">
      <alignment horizontal="center" vertical="center"/>
    </xf>
    <xf numFmtId="4" fontId="62" fillId="0" borderId="14" xfId="1916" applyNumberFormat="1" applyFont="1" applyBorder="1" applyAlignment="1">
      <alignment horizontal="center" vertical="center"/>
    </xf>
    <xf numFmtId="4" fontId="62" fillId="0" borderId="14" xfId="1916" applyNumberFormat="1" applyFont="1" applyBorder="1" applyAlignment="1" applyProtection="1">
      <alignment horizontal="center" vertical="center"/>
      <protection locked="0"/>
    </xf>
    <xf numFmtId="4" fontId="62" fillId="0" borderId="21" xfId="1916" applyNumberFormat="1" applyFont="1" applyBorder="1" applyAlignment="1">
      <alignment horizontal="center" vertical="center"/>
    </xf>
    <xf numFmtId="0" fontId="46" fillId="0" borderId="0" xfId="0" applyFont="1" applyBorder="1" applyAlignment="1"/>
    <xf numFmtId="4" fontId="19" fillId="0" borderId="0" xfId="1916" applyNumberFormat="1" applyFont="1" applyAlignment="1">
      <alignment horizontal="center"/>
    </xf>
    <xf numFmtId="0" fontId="23" fillId="0" borderId="33" xfId="0" applyFont="1" applyBorder="1" applyAlignment="1">
      <alignment horizontal="center"/>
    </xf>
    <xf numFmtId="4" fontId="69" fillId="0" borderId="27" xfId="1916" applyNumberFormat="1" applyFont="1" applyBorder="1" applyAlignment="1" applyProtection="1">
      <alignment horizontal="center" vertical="center"/>
    </xf>
    <xf numFmtId="4" fontId="69" fillId="0" borderId="30" xfId="1916" applyNumberFormat="1" applyFont="1" applyBorder="1" applyAlignment="1" applyProtection="1">
      <alignment horizontal="center" vertical="center"/>
    </xf>
    <xf numFmtId="49" fontId="69" fillId="9" borderId="27" xfId="1916" applyNumberFormat="1" applyFont="1" applyFill="1" applyBorder="1" applyAlignment="1" applyProtection="1">
      <alignment horizontal="center" vertical="top" wrapText="1"/>
      <protection locked="0"/>
    </xf>
    <xf numFmtId="49" fontId="69" fillId="0" borderId="27" xfId="1916" applyNumberFormat="1" applyFont="1" applyFill="1" applyBorder="1" applyAlignment="1" applyProtection="1">
      <alignment horizontal="center" vertical="top" wrapText="1"/>
      <protection locked="0"/>
    </xf>
    <xf numFmtId="4" fontId="69" fillId="0" borderId="27" xfId="1916" applyNumberFormat="1" applyFont="1" applyFill="1" applyBorder="1" applyAlignment="1" applyProtection="1">
      <alignment horizontal="center" vertical="center"/>
    </xf>
    <xf numFmtId="4" fontId="19" fillId="0" borderId="27" xfId="1916" applyNumberFormat="1" applyFont="1" applyFill="1" applyBorder="1" applyAlignment="1" applyProtection="1">
      <alignment horizontal="center" vertical="center"/>
    </xf>
    <xf numFmtId="3" fontId="69" fillId="9" borderId="38" xfId="1916" applyNumberFormat="1" applyFont="1" applyFill="1" applyBorder="1" applyAlignment="1" applyProtection="1">
      <alignment horizontal="center" vertical="center" wrapText="1"/>
      <protection locked="0"/>
    </xf>
    <xf numFmtId="3" fontId="69" fillId="9" borderId="27" xfId="1916" applyNumberFormat="1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Fill="1" applyBorder="1" applyAlignment="1">
      <alignment horizontal="center" vertical="center" wrapText="1"/>
    </xf>
    <xf numFmtId="172" fontId="23" fillId="0" borderId="1" xfId="1946" applyNumberFormat="1" applyFont="1" applyFill="1" applyBorder="1" applyAlignment="1">
      <alignment horizontal="center" vertical="top"/>
    </xf>
    <xf numFmtId="0" fontId="43" fillId="9" borderId="19" xfId="1911" applyFont="1" applyFill="1" applyBorder="1" applyAlignment="1">
      <alignment horizontal="center" vertical="center" wrapText="1"/>
    </xf>
    <xf numFmtId="0" fontId="14" fillId="0" borderId="4" xfId="832" applyFont="1" applyFill="1" applyBorder="1" applyAlignment="1">
      <alignment horizontal="center" vertical="center"/>
    </xf>
    <xf numFmtId="0" fontId="21" fillId="0" borderId="35" xfId="0" applyNumberFormat="1" applyFont="1" applyFill="1" applyBorder="1" applyAlignment="1">
      <alignment horizontal="center" vertical="center"/>
    </xf>
    <xf numFmtId="0" fontId="23" fillId="0" borderId="17" xfId="1922" applyFont="1" applyFill="1" applyBorder="1" applyAlignment="1">
      <alignment horizontal="center" vertical="center" wrapText="1"/>
    </xf>
    <xf numFmtId="0" fontId="11" fillId="0" borderId="18" xfId="1922" applyFont="1" applyFill="1" applyBorder="1" applyAlignment="1">
      <alignment horizontal="center" vertical="center" wrapText="1"/>
    </xf>
    <xf numFmtId="3" fontId="11" fillId="0" borderId="18" xfId="1922" applyNumberFormat="1" applyFont="1" applyBorder="1" applyAlignment="1">
      <alignment horizontal="center" vertical="center"/>
    </xf>
    <xf numFmtId="0" fontId="11" fillId="0" borderId="19" xfId="1922" applyFont="1" applyBorder="1" applyAlignment="1">
      <alignment horizontal="center" vertical="center"/>
    </xf>
    <xf numFmtId="0" fontId="23" fillId="0" borderId="18" xfId="1922" applyFont="1" applyFill="1" applyBorder="1" applyAlignment="1">
      <alignment horizontal="left" vertical="center" wrapText="1"/>
    </xf>
    <xf numFmtId="4" fontId="23" fillId="0" borderId="18" xfId="1922" applyNumberFormat="1" applyFont="1" applyBorder="1" applyAlignment="1">
      <alignment horizontal="center" vertical="center"/>
    </xf>
    <xf numFmtId="4" fontId="23" fillId="0" borderId="19" xfId="1922" applyNumberFormat="1" applyFont="1" applyBorder="1" applyAlignment="1">
      <alignment horizontal="center" vertical="center"/>
    </xf>
    <xf numFmtId="0" fontId="37" fillId="0" borderId="9" xfId="1922" applyFont="1" applyFill="1" applyBorder="1" applyAlignment="1">
      <alignment vertical="center" wrapText="1"/>
    </xf>
    <xf numFmtId="0" fontId="14" fillId="0" borderId="1" xfId="1922" applyFont="1" applyFill="1" applyBorder="1" applyAlignment="1">
      <alignment vertical="center" wrapText="1"/>
    </xf>
    <xf numFmtId="4" fontId="23" fillId="0" borderId="1" xfId="1922" applyNumberFormat="1" applyFont="1" applyBorder="1" applyAlignment="1">
      <alignment horizontal="center" vertical="center"/>
    </xf>
    <xf numFmtId="4" fontId="14" fillId="0" borderId="10" xfId="1922" applyNumberFormat="1" applyFont="1" applyBorder="1" applyAlignment="1">
      <alignment horizontal="center" vertical="center" wrapText="1"/>
    </xf>
    <xf numFmtId="0" fontId="112" fillId="0" borderId="0" xfId="0" applyFont="1"/>
    <xf numFmtId="0" fontId="113" fillId="0" borderId="9" xfId="0" applyFont="1" applyBorder="1" applyAlignment="1">
      <alignment vertical="center"/>
    </xf>
    <xf numFmtId="0" fontId="23" fillId="0" borderId="26" xfId="0" applyFont="1" applyFill="1" applyBorder="1" applyAlignment="1">
      <alignment vertical="center"/>
    </xf>
    <xf numFmtId="0" fontId="113" fillId="0" borderId="11" xfId="0" applyFont="1" applyBorder="1" applyAlignment="1">
      <alignment vertical="center"/>
    </xf>
    <xf numFmtId="0" fontId="14" fillId="0" borderId="44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4" fontId="14" fillId="0" borderId="21" xfId="1922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2" fontId="65" fillId="0" borderId="0" xfId="0" applyNumberFormat="1" applyFont="1" applyFill="1" applyBorder="1"/>
    <xf numFmtId="0" fontId="14" fillId="0" borderId="20" xfId="0" applyFont="1" applyBorder="1"/>
    <xf numFmtId="0" fontId="113" fillId="0" borderId="0" xfId="0" applyFont="1" applyAlignment="1"/>
    <xf numFmtId="4" fontId="23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right" vertical="center"/>
    </xf>
    <xf numFmtId="4" fontId="23" fillId="2" borderId="1" xfId="0" applyNumberFormat="1" applyFont="1" applyFill="1" applyBorder="1" applyAlignment="1">
      <alignment horizontal="right" vertical="center" wrapText="1"/>
    </xf>
    <xf numFmtId="49" fontId="14" fillId="0" borderId="37" xfId="0" applyNumberFormat="1" applyFont="1" applyBorder="1" applyAlignment="1">
      <alignment horizontal="center" vertical="center"/>
    </xf>
    <xf numFmtId="49" fontId="23" fillId="0" borderId="37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/>
    </xf>
    <xf numFmtId="49" fontId="14" fillId="0" borderId="1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right" vertical="center" wrapText="1"/>
    </xf>
    <xf numFmtId="0" fontId="23" fillId="13" borderId="1" xfId="830" applyFont="1" applyFill="1" applyBorder="1"/>
    <xf numFmtId="4" fontId="37" fillId="0" borderId="0" xfId="0" applyNumberFormat="1" applyFont="1" applyAlignment="1"/>
    <xf numFmtId="4" fontId="31" fillId="0" borderId="0" xfId="0" applyNumberFormat="1" applyFont="1" applyAlignment="1"/>
    <xf numFmtId="4" fontId="31" fillId="0" borderId="0" xfId="0" applyNumberFormat="1" applyFont="1" applyAlignment="1">
      <alignment horizontal="left"/>
    </xf>
    <xf numFmtId="4" fontId="31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horizontal="left"/>
    </xf>
    <xf numFmtId="4" fontId="21" fillId="0" borderId="0" xfId="0" applyNumberFormat="1" applyFont="1" applyAlignment="1">
      <alignment horizontal="right"/>
    </xf>
    <xf numFmtId="4" fontId="21" fillId="0" borderId="0" xfId="0" applyNumberFormat="1" applyFont="1" applyBorder="1" applyAlignment="1">
      <alignment horizontal="right"/>
    </xf>
    <xf numFmtId="4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2" fillId="0" borderId="35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center"/>
    </xf>
    <xf numFmtId="4" fontId="24" fillId="9" borderId="1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center" vertical="center"/>
    </xf>
    <xf numFmtId="4" fontId="22" fillId="0" borderId="27" xfId="0" applyNumberFormat="1" applyFont="1" applyFill="1" applyBorder="1" applyAlignment="1">
      <alignment horizontal="center" vertical="center"/>
    </xf>
    <xf numFmtId="4" fontId="14" fillId="0" borderId="20" xfId="0" applyNumberFormat="1" applyFont="1" applyBorder="1" applyAlignment="1">
      <alignment horizontal="center" wrapText="1"/>
    </xf>
    <xf numFmtId="4" fontId="14" fillId="0" borderId="0" xfId="0" applyNumberFormat="1" applyFont="1" applyBorder="1" applyAlignment="1">
      <alignment horizontal="center" wrapText="1"/>
    </xf>
    <xf numFmtId="4" fontId="30" fillId="0" borderId="0" xfId="832" applyNumberFormat="1" applyFont="1" applyBorder="1" applyAlignment="1">
      <alignment horizontal="center" vertical="top"/>
    </xf>
    <xf numFmtId="4" fontId="30" fillId="0" borderId="0" xfId="0" applyNumberFormat="1" applyFont="1" applyBorder="1" applyAlignment="1">
      <alignment horizontal="center" vertical="top"/>
    </xf>
    <xf numFmtId="4" fontId="30" fillId="0" borderId="0" xfId="0" applyNumberFormat="1" applyFont="1"/>
    <xf numFmtId="0" fontId="35" fillId="9" borderId="27" xfId="0" applyFont="1" applyFill="1" applyBorder="1" applyAlignment="1">
      <alignment horizontal="center" vertical="center"/>
    </xf>
    <xf numFmtId="0" fontId="35" fillId="9" borderId="26" xfId="0" applyFont="1" applyFill="1" applyBorder="1" applyAlignment="1">
      <alignment horizontal="center" vertical="center"/>
    </xf>
    <xf numFmtId="14" fontId="103" fillId="2" borderId="1" xfId="0" applyNumberFormat="1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01" fillId="0" borderId="1" xfId="0" applyNumberFormat="1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9" borderId="9" xfId="832" applyFont="1" applyFill="1" applyBorder="1" applyAlignment="1">
      <alignment horizontal="center" vertical="center" wrapText="1"/>
    </xf>
    <xf numFmtId="3" fontId="10" fillId="9" borderId="1" xfId="1946" applyNumberFormat="1" applyFont="1" applyFill="1" applyBorder="1" applyAlignment="1">
      <alignment horizontal="center" vertical="center" wrapText="1"/>
    </xf>
    <xf numFmtId="4" fontId="10" fillId="9" borderId="1" xfId="832" applyNumberFormat="1" applyFont="1" applyFill="1" applyBorder="1" applyAlignment="1">
      <alignment horizontal="center" vertical="center" wrapText="1"/>
    </xf>
    <xf numFmtId="4" fontId="11" fillId="9" borderId="1" xfId="1946" applyNumberFormat="1" applyFont="1" applyFill="1" applyBorder="1" applyAlignment="1">
      <alignment horizontal="center" vertical="center" wrapText="1"/>
    </xf>
    <xf numFmtId="3" fontId="65" fillId="9" borderId="10" xfId="832" applyNumberFormat="1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horizontal="center" vertical="center"/>
    </xf>
    <xf numFmtId="173" fontId="23" fillId="0" borderId="1" xfId="1910" applyNumberFormat="1" applyFont="1" applyFill="1" applyBorder="1" applyAlignment="1">
      <alignment wrapText="1"/>
    </xf>
    <xf numFmtId="0" fontId="23" fillId="0" borderId="1" xfId="1910" applyFont="1" applyFill="1" applyBorder="1" applyAlignment="1">
      <alignment horizontal="center"/>
    </xf>
    <xf numFmtId="0" fontId="10" fillId="0" borderId="1" xfId="1910" applyFont="1" applyFill="1" applyBorder="1" applyAlignment="1">
      <alignment horizontal="center" vertical="center"/>
    </xf>
    <xf numFmtId="167" fontId="23" fillId="0" borderId="1" xfId="1910" applyNumberFormat="1" applyFont="1" applyFill="1" applyBorder="1" applyAlignment="1">
      <alignment horizontal="center"/>
    </xf>
    <xf numFmtId="0" fontId="54" fillId="0" borderId="0" xfId="1910" applyFont="1" applyFill="1"/>
    <xf numFmtId="174" fontId="54" fillId="0" borderId="0" xfId="1910" applyNumberFormat="1" applyFont="1" applyFill="1"/>
    <xf numFmtId="3" fontId="103" fillId="2" borderId="1" xfId="0" applyNumberFormat="1" applyFont="1" applyFill="1" applyBorder="1" applyAlignment="1">
      <alignment horizontal="center" vertical="center"/>
    </xf>
    <xf numFmtId="14" fontId="104" fillId="2" borderId="1" xfId="0" applyNumberFormat="1" applyFont="1" applyFill="1" applyBorder="1" applyAlignment="1">
      <alignment horizontal="center" vertical="center"/>
    </xf>
    <xf numFmtId="0" fontId="99" fillId="0" borderId="0" xfId="0" applyFont="1" applyFill="1" applyAlignment="1">
      <alignment horizontal="center"/>
    </xf>
    <xf numFmtId="0" fontId="69" fillId="0" borderId="1" xfId="0" applyFont="1" applyBorder="1"/>
    <xf numFmtId="4" fontId="102" fillId="0" borderId="13" xfId="0" applyNumberFormat="1" applyFont="1" applyFill="1" applyBorder="1" applyAlignment="1">
      <alignment horizontal="center"/>
    </xf>
    <xf numFmtId="4" fontId="102" fillId="0" borderId="10" xfId="0" applyNumberFormat="1" applyFont="1" applyFill="1" applyBorder="1" applyAlignment="1">
      <alignment horizontal="center"/>
    </xf>
    <xf numFmtId="0" fontId="69" fillId="0" borderId="0" xfId="0" applyFont="1"/>
    <xf numFmtId="2" fontId="19" fillId="0" borderId="1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4" fontId="11" fillId="0" borderId="1" xfId="830" applyNumberFormat="1" applyFont="1" applyFill="1" applyBorder="1" applyAlignment="1">
      <alignment horizontal="center" vertical="center"/>
    </xf>
    <xf numFmtId="0" fontId="32" fillId="0" borderId="39" xfId="0" applyFont="1" applyBorder="1" applyAlignment="1">
      <alignment horizontal="center"/>
    </xf>
    <xf numFmtId="4" fontId="99" fillId="0" borderId="0" xfId="0" applyNumberFormat="1" applyFont="1"/>
    <xf numFmtId="4" fontId="14" fillId="0" borderId="1" xfId="1922" applyNumberFormat="1" applyFont="1" applyFill="1" applyBorder="1" applyAlignment="1">
      <alignment horizontal="center" vertical="center" wrapText="1"/>
    </xf>
    <xf numFmtId="172" fontId="23" fillId="0" borderId="1" xfId="1946" applyNumberFormat="1" applyFont="1" applyFill="1" applyBorder="1" applyAlignment="1">
      <alignment horizontal="center" vertical="center"/>
    </xf>
    <xf numFmtId="4" fontId="102" fillId="0" borderId="19" xfId="0" applyNumberFormat="1" applyFont="1" applyFill="1" applyBorder="1" applyAlignment="1">
      <alignment horizontal="center"/>
    </xf>
    <xf numFmtId="4" fontId="22" fillId="0" borderId="10" xfId="0" applyNumberFormat="1" applyFont="1" applyFill="1" applyBorder="1" applyAlignment="1">
      <alignment horizontal="center"/>
    </xf>
    <xf numFmtId="4" fontId="22" fillId="0" borderId="2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8" xfId="832" applyFont="1" applyFill="1" applyBorder="1" applyAlignment="1">
      <alignment horizontal="center" vertical="center" wrapText="1"/>
    </xf>
    <xf numFmtId="4" fontId="11" fillId="0" borderId="18" xfId="832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/>
    </xf>
    <xf numFmtId="3" fontId="10" fillId="0" borderId="48" xfId="832" applyNumberFormat="1" applyFont="1" applyFill="1" applyBorder="1" applyAlignment="1">
      <alignment horizontal="center" vertical="center" wrapText="1"/>
    </xf>
    <xf numFmtId="3" fontId="10" fillId="0" borderId="41" xfId="832" applyNumberFormat="1" applyFont="1" applyFill="1" applyBorder="1" applyAlignment="1">
      <alignment horizontal="center" vertical="center" wrapText="1"/>
    </xf>
    <xf numFmtId="3" fontId="10" fillId="0" borderId="43" xfId="832" applyNumberFormat="1" applyFont="1" applyFill="1" applyBorder="1" applyAlignment="1">
      <alignment horizontal="center" vertical="center" wrapText="1"/>
    </xf>
    <xf numFmtId="49" fontId="66" fillId="0" borderId="11" xfId="832" applyNumberFormat="1" applyFont="1" applyFill="1" applyBorder="1" applyAlignment="1">
      <alignment horizontal="center" vertical="center" wrapText="1"/>
    </xf>
    <xf numFmtId="4" fontId="66" fillId="0" borderId="14" xfId="832" applyNumberFormat="1" applyFont="1" applyFill="1" applyBorder="1" applyAlignment="1">
      <alignment horizontal="center" vertical="center" wrapText="1"/>
    </xf>
    <xf numFmtId="4" fontId="10" fillId="0" borderId="14" xfId="832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14" fillId="0" borderId="0" xfId="1923" applyFont="1" applyBorder="1" applyAlignment="1">
      <alignment horizontal="center"/>
    </xf>
    <xf numFmtId="4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53" fillId="9" borderId="15" xfId="1923" applyFont="1" applyFill="1" applyBorder="1" applyAlignment="1">
      <alignment horizontal="center" vertical="center" wrapText="1"/>
    </xf>
    <xf numFmtId="0" fontId="53" fillId="9" borderId="1" xfId="1923" applyFont="1" applyFill="1" applyBorder="1" applyAlignment="1">
      <alignment horizontal="center" vertical="center" wrapText="1"/>
    </xf>
    <xf numFmtId="0" fontId="14" fillId="0" borderId="0" xfId="1956" applyFont="1" applyFill="1" applyBorder="1" applyAlignment="1">
      <alignment horizontal="left"/>
    </xf>
    <xf numFmtId="1" fontId="23" fillId="0" borderId="0" xfId="0" applyNumberFormat="1" applyFont="1"/>
    <xf numFmtId="2" fontId="19" fillId="0" borderId="1" xfId="0" applyNumberFormat="1" applyFont="1" applyFill="1" applyBorder="1" applyAlignment="1">
      <alignment horizontal="center" vertical="center"/>
    </xf>
    <xf numFmtId="4" fontId="103" fillId="0" borderId="1" xfId="0" applyNumberFormat="1" applyFont="1" applyFill="1" applyBorder="1" applyAlignment="1">
      <alignment horizontal="center" vertical="center"/>
    </xf>
    <xf numFmtId="3" fontId="41" fillId="0" borderId="0" xfId="1916" applyNumberFormat="1" applyFont="1" applyFill="1" applyBorder="1" applyAlignment="1">
      <alignment horizontal="center" vertical="center" wrapText="1"/>
    </xf>
    <xf numFmtId="3" fontId="41" fillId="0" borderId="0" xfId="1916" applyNumberFormat="1" applyFont="1" applyFill="1" applyAlignment="1">
      <alignment horizontal="center" vertical="center" wrapText="1"/>
    </xf>
    <xf numFmtId="0" fontId="42" fillId="0" borderId="0" xfId="1916" applyFont="1" applyFill="1" applyAlignment="1">
      <alignment horizontal="center" vertical="center" wrapText="1"/>
    </xf>
    <xf numFmtId="0" fontId="41" fillId="0" borderId="0" xfId="1916" applyFont="1" applyFill="1" applyAlignment="1">
      <alignment horizontal="center" vertical="center"/>
    </xf>
    <xf numFmtId="0" fontId="41" fillId="0" borderId="0" xfId="1915" applyFont="1" applyFill="1" applyAlignment="1">
      <alignment horizontal="center"/>
    </xf>
    <xf numFmtId="4" fontId="41" fillId="0" borderId="0" xfId="1915" applyNumberFormat="1" applyFont="1" applyFill="1" applyAlignment="1">
      <alignment horizontal="center"/>
    </xf>
    <xf numFmtId="3" fontId="41" fillId="0" borderId="0" xfId="1915" applyNumberFormat="1" applyFont="1" applyFill="1" applyAlignment="1">
      <alignment horizontal="right"/>
    </xf>
    <xf numFmtId="3" fontId="41" fillId="0" borderId="0" xfId="1915" applyNumberFormat="1" applyFont="1" applyFill="1" applyAlignment="1">
      <alignment horizontal="left"/>
    </xf>
    <xf numFmtId="0" fontId="141" fillId="0" borderId="1" xfId="0" applyFont="1" applyFill="1" applyBorder="1" applyAlignment="1">
      <alignment horizontal="center" vertical="center"/>
    </xf>
    <xf numFmtId="1" fontId="76" fillId="17" borderId="1" xfId="1940" applyNumberFormat="1" applyFont="1" applyFill="1" applyBorder="1" applyAlignment="1" applyProtection="1">
      <alignment horizontal="center" vertical="center"/>
    </xf>
    <xf numFmtId="1" fontId="142" fillId="16" borderId="1" xfId="1940" applyNumberFormat="1" applyFont="1" applyFill="1" applyBorder="1" applyAlignment="1" applyProtection="1">
      <alignment horizontal="center" vertical="center"/>
    </xf>
    <xf numFmtId="0" fontId="141" fillId="0" borderId="1" xfId="0" applyFont="1" applyBorder="1" applyAlignment="1">
      <alignment horizontal="center" vertical="center"/>
    </xf>
    <xf numFmtId="9" fontId="16" fillId="0" borderId="0" xfId="1930" applyFont="1"/>
    <xf numFmtId="0" fontId="22" fillId="0" borderId="0" xfId="0" applyNumberFormat="1" applyFont="1" applyAlignment="1">
      <alignment horizontal="center" vertical="center"/>
    </xf>
    <xf numFmtId="0" fontId="59" fillId="0" borderId="0" xfId="0" applyNumberFormat="1" applyFont="1" applyAlignment="1">
      <alignment horizontal="left" vertical="center"/>
    </xf>
    <xf numFmtId="0" fontId="22" fillId="0" borderId="0" xfId="0" applyNumberFormat="1" applyFont="1" applyAlignment="1">
      <alignment horizontal="left"/>
    </xf>
    <xf numFmtId="4" fontId="10" fillId="0" borderId="0" xfId="0" applyNumberFormat="1" applyFont="1"/>
    <xf numFmtId="4" fontId="14" fillId="0" borderId="10" xfId="0" applyNumberFormat="1" applyFont="1" applyBorder="1"/>
    <xf numFmtId="0" fontId="4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1" fillId="0" borderId="0" xfId="0" applyFont="1" applyFill="1" applyBorder="1" applyAlignment="1">
      <alignment horizontal="center" vertical="center"/>
    </xf>
    <xf numFmtId="0" fontId="144" fillId="0" borderId="0" xfId="0" applyFont="1" applyFill="1" applyBorder="1" applyAlignment="1">
      <alignment horizontal="center" vertical="center"/>
    </xf>
    <xf numFmtId="1" fontId="76" fillId="0" borderId="0" xfId="194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vertical="center"/>
    </xf>
    <xf numFmtId="1" fontId="143" fillId="0" borderId="0" xfId="1940" applyNumberFormat="1" applyFont="1" applyFill="1" applyBorder="1" applyAlignment="1" applyProtection="1">
      <alignment horizontal="center" vertical="center"/>
    </xf>
    <xf numFmtId="0" fontId="82" fillId="0" borderId="3" xfId="0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center" vertical="center" wrapText="1"/>
    </xf>
    <xf numFmtId="0" fontId="82" fillId="0" borderId="1" xfId="0" applyFont="1" applyBorder="1" applyAlignment="1">
      <alignment vertical="center" wrapText="1"/>
    </xf>
    <xf numFmtId="0" fontId="82" fillId="0" borderId="3" xfId="0" applyFont="1" applyFill="1" applyBorder="1" applyAlignment="1">
      <alignment horizontal="left" vertical="center" wrapText="1"/>
    </xf>
    <xf numFmtId="0" fontId="82" fillId="0" borderId="3" xfId="0" applyFont="1" applyBorder="1" applyAlignment="1">
      <alignment vertical="center" wrapText="1"/>
    </xf>
    <xf numFmtId="0" fontId="82" fillId="0" borderId="3" xfId="0" applyFont="1" applyBorder="1" applyAlignment="1">
      <alignment vertical="center"/>
    </xf>
    <xf numFmtId="0" fontId="82" fillId="0" borderId="3" xfId="0" applyFont="1" applyFill="1" applyBorder="1" applyAlignment="1">
      <alignment horizontal="left" vertical="center"/>
    </xf>
    <xf numFmtId="0" fontId="82" fillId="0" borderId="46" xfId="0" applyFont="1" applyBorder="1" applyAlignment="1">
      <alignment vertical="center" wrapText="1"/>
    </xf>
    <xf numFmtId="0" fontId="82" fillId="0" borderId="16" xfId="0" applyFont="1" applyBorder="1" applyAlignment="1">
      <alignment vertical="center" wrapText="1"/>
    </xf>
    <xf numFmtId="0" fontId="82" fillId="0" borderId="1" xfId="0" applyFont="1" applyFill="1" applyBorder="1" applyAlignment="1">
      <alignment horizontal="left" vertical="center"/>
    </xf>
    <xf numFmtId="0" fontId="82" fillId="0" borderId="1" xfId="0" applyFont="1" applyFill="1" applyBorder="1" applyAlignment="1">
      <alignment horizontal="left" vertical="center" wrapText="1"/>
    </xf>
    <xf numFmtId="0" fontId="82" fillId="0" borderId="1" xfId="0" applyFont="1" applyFill="1" applyBorder="1" applyAlignment="1">
      <alignment vertical="center" wrapText="1"/>
    </xf>
    <xf numFmtId="1" fontId="142" fillId="0" borderId="1" xfId="1940" applyNumberFormat="1" applyFont="1" applyFill="1" applyBorder="1" applyAlignment="1" applyProtection="1">
      <alignment horizontal="center" vertical="center"/>
    </xf>
    <xf numFmtId="1" fontId="105" fillId="3" borderId="1" xfId="1939" applyNumberFormat="1" applyFont="1" applyFill="1" applyBorder="1" applyAlignment="1" applyProtection="1">
      <alignment horizontal="center" vertical="center"/>
    </xf>
    <xf numFmtId="1" fontId="105" fillId="0" borderId="1" xfId="1939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Alignment="1">
      <alignment horizontal="right" vertical="center"/>
    </xf>
    <xf numFmtId="2" fontId="22" fillId="0" borderId="87" xfId="0" applyNumberFormat="1" applyFont="1" applyBorder="1" applyAlignment="1">
      <alignment horizontal="center" vertical="center"/>
    </xf>
    <xf numFmtId="3" fontId="69" fillId="0" borderId="1" xfId="1956" applyNumberFormat="1" applyFont="1" applyFill="1" applyBorder="1" applyAlignment="1" applyProtection="1">
      <alignment horizontal="center" vertical="center"/>
    </xf>
    <xf numFmtId="0" fontId="53" fillId="9" borderId="12" xfId="1923" applyFont="1" applyFill="1" applyBorder="1" applyAlignment="1">
      <alignment horizontal="center" vertical="center" wrapText="1"/>
    </xf>
    <xf numFmtId="0" fontId="53" fillId="9" borderId="13" xfId="1923" applyFont="1" applyFill="1" applyBorder="1" applyAlignment="1">
      <alignment horizontal="center" vertical="center" wrapText="1"/>
    </xf>
    <xf numFmtId="0" fontId="53" fillId="9" borderId="9" xfId="1923" applyFont="1" applyFill="1" applyBorder="1" applyAlignment="1">
      <alignment horizontal="center" vertical="center" wrapText="1"/>
    </xf>
    <xf numFmtId="0" fontId="53" fillId="9" borderId="10" xfId="1923" applyFont="1" applyFill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vertical="center"/>
    </xf>
    <xf numFmtId="4" fontId="10" fillId="0" borderId="18" xfId="0" applyNumberFormat="1" applyFont="1" applyFill="1" applyBorder="1" applyAlignment="1" applyProtection="1">
      <alignment horizontal="center" vertical="top"/>
    </xf>
    <xf numFmtId="4" fontId="19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4" fontId="102" fillId="0" borderId="0" xfId="0" applyNumberFormat="1" applyFont="1"/>
    <xf numFmtId="4" fontId="66" fillId="0" borderId="14" xfId="1946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3" fillId="0" borderId="9" xfId="1910" applyFont="1" applyFill="1" applyBorder="1" applyAlignment="1">
      <alignment horizontal="center" vertical="center"/>
    </xf>
    <xf numFmtId="0" fontId="10" fillId="0" borderId="1" xfId="1910" applyFont="1" applyFill="1" applyBorder="1" applyAlignment="1">
      <alignment horizontal="center"/>
    </xf>
    <xf numFmtId="4" fontId="54" fillId="0" borderId="0" xfId="1910" applyNumberFormat="1" applyFont="1" applyFill="1"/>
    <xf numFmtId="173" fontId="23" fillId="0" borderId="1" xfId="1910" applyNumberFormat="1" applyFont="1" applyFill="1" applyBorder="1" applyAlignment="1">
      <alignment horizontal="left" wrapText="1"/>
    </xf>
    <xf numFmtId="0" fontId="3" fillId="0" borderId="0" xfId="5969" applyProtection="1">
      <protection locked="0"/>
    </xf>
    <xf numFmtId="0" fontId="153" fillId="0" borderId="0" xfId="5969" applyFont="1" applyAlignment="1" applyProtection="1">
      <alignment vertical="center"/>
      <protection locked="0"/>
    </xf>
    <xf numFmtId="0" fontId="153" fillId="0" borderId="0" xfId="5969" applyFont="1" applyProtection="1">
      <protection locked="0"/>
    </xf>
    <xf numFmtId="0" fontId="153" fillId="0" borderId="0" xfId="5969" applyFont="1" applyAlignment="1" applyProtection="1">
      <alignment horizontal="center" vertical="center"/>
      <protection locked="0"/>
    </xf>
    <xf numFmtId="0" fontId="153" fillId="0" borderId="0" xfId="5969" applyFont="1" applyFill="1" applyAlignment="1" applyProtection="1">
      <alignment vertical="center"/>
      <protection locked="0"/>
    </xf>
    <xf numFmtId="0" fontId="3" fillId="0" borderId="0" xfId="5969" applyFill="1" applyProtection="1">
      <protection locked="0"/>
    </xf>
    <xf numFmtId="0" fontId="154" fillId="0" borderId="0" xfId="5969" applyFont="1" applyAlignment="1" applyProtection="1">
      <alignment vertical="center" wrapText="1"/>
      <protection locked="0"/>
    </xf>
    <xf numFmtId="0" fontId="154" fillId="0" borderId="0" xfId="5969" applyFont="1" applyAlignment="1" applyProtection="1">
      <alignment vertical="center"/>
      <protection locked="0"/>
    </xf>
    <xf numFmtId="0" fontId="154" fillId="0" borderId="0" xfId="5969" applyFont="1" applyProtection="1">
      <protection locked="0"/>
    </xf>
    <xf numFmtId="0" fontId="154" fillId="0" borderId="0" xfId="5969" applyFont="1" applyAlignment="1" applyProtection="1">
      <alignment horizontal="center" vertical="center"/>
      <protection locked="0"/>
    </xf>
    <xf numFmtId="0" fontId="154" fillId="0" borderId="0" xfId="5969" applyFont="1" applyFill="1" applyAlignment="1" applyProtection="1">
      <alignment vertical="center"/>
      <protection locked="0"/>
    </xf>
    <xf numFmtId="0" fontId="155" fillId="0" borderId="0" xfId="5969" applyFont="1" applyFill="1" applyAlignment="1" applyProtection="1">
      <alignment horizontal="center" vertical="center"/>
    </xf>
    <xf numFmtId="0" fontId="155" fillId="0" borderId="0" xfId="5969" applyFont="1" applyAlignment="1" applyProtection="1">
      <alignment horizontal="center" vertical="center"/>
    </xf>
    <xf numFmtId="0" fontId="156" fillId="0" borderId="0" xfId="5969" applyFont="1" applyAlignment="1" applyProtection="1">
      <alignment horizontal="center" vertical="center"/>
    </xf>
    <xf numFmtId="0" fontId="157" fillId="0" borderId="0" xfId="5969" applyFont="1" applyAlignment="1" applyProtection="1">
      <alignment horizontal="center" vertical="center"/>
    </xf>
    <xf numFmtId="0" fontId="158" fillId="0" borderId="0" xfId="5969" applyFont="1" applyAlignment="1" applyProtection="1">
      <alignment horizontal="right" vertical="center"/>
    </xf>
    <xf numFmtId="0" fontId="155" fillId="20" borderId="20" xfId="5969" applyFont="1" applyFill="1" applyBorder="1" applyAlignment="1" applyProtection="1">
      <alignment horizontal="center" vertical="center"/>
    </xf>
    <xf numFmtId="0" fontId="158" fillId="0" borderId="0" xfId="5969" applyFont="1" applyAlignment="1" applyProtection="1">
      <alignment horizontal="center" vertical="center"/>
    </xf>
    <xf numFmtId="0" fontId="157" fillId="0" borderId="0" xfId="5969" applyFont="1" applyFill="1" applyAlignment="1" applyProtection="1">
      <alignment horizontal="center" vertical="center"/>
    </xf>
    <xf numFmtId="0" fontId="159" fillId="0" borderId="0" xfId="5969" applyFont="1" applyAlignment="1" applyProtection="1">
      <alignment horizontal="center" vertical="center"/>
    </xf>
    <xf numFmtId="0" fontId="3" fillId="0" borderId="0" xfId="5969" applyAlignment="1" applyProtection="1">
      <alignment vertical="center"/>
      <protection locked="0"/>
    </xf>
    <xf numFmtId="0" fontId="3" fillId="0" borderId="0" xfId="5969" applyAlignment="1" applyProtection="1">
      <alignment horizontal="center" vertical="center"/>
      <protection locked="0"/>
    </xf>
    <xf numFmtId="0" fontId="3" fillId="0" borderId="0" xfId="5969" applyFill="1" applyAlignment="1" applyProtection="1">
      <alignment vertical="center"/>
      <protection locked="0"/>
    </xf>
    <xf numFmtId="0" fontId="151" fillId="21" borderId="93" xfId="5969" applyFont="1" applyFill="1" applyBorder="1" applyAlignment="1" applyProtection="1">
      <alignment horizontal="center" vertical="center" wrapText="1"/>
      <protection locked="0"/>
    </xf>
    <xf numFmtId="0" fontId="151" fillId="21" borderId="23" xfId="5969" applyFont="1" applyFill="1" applyBorder="1" applyAlignment="1" applyProtection="1">
      <alignment horizontal="center" vertical="center" wrapText="1"/>
      <protection locked="0"/>
    </xf>
    <xf numFmtId="0" fontId="151" fillId="21" borderId="24" xfId="5969" applyFont="1" applyFill="1" applyBorder="1" applyAlignment="1" applyProtection="1">
      <alignment horizontal="center" vertical="center" wrapText="1"/>
      <protection locked="0"/>
    </xf>
    <xf numFmtId="2" fontId="160" fillId="21" borderId="24" xfId="5969" applyNumberFormat="1" applyFont="1" applyFill="1" applyBorder="1" applyAlignment="1" applyProtection="1">
      <alignment horizontal="center" vertical="center" wrapText="1"/>
      <protection locked="0"/>
    </xf>
    <xf numFmtId="2" fontId="160" fillId="21" borderId="63" xfId="5969" applyNumberFormat="1" applyFont="1" applyFill="1" applyBorder="1" applyAlignment="1" applyProtection="1">
      <alignment horizontal="center" vertical="center" wrapText="1"/>
      <protection locked="0"/>
    </xf>
    <xf numFmtId="2" fontId="160" fillId="21" borderId="12" xfId="5969" applyNumberFormat="1" applyFont="1" applyFill="1" applyBorder="1" applyAlignment="1" applyProtection="1">
      <alignment horizontal="center" vertical="center" wrapText="1"/>
      <protection locked="0"/>
    </xf>
    <xf numFmtId="2" fontId="151" fillId="21" borderId="91" xfId="5969" applyNumberFormat="1" applyFont="1" applyFill="1" applyBorder="1" applyAlignment="1" applyProtection="1">
      <alignment horizontal="center" vertical="center" wrapText="1"/>
      <protection locked="0"/>
    </xf>
    <xf numFmtId="0" fontId="151" fillId="21" borderId="94" xfId="5969" applyFont="1" applyFill="1" applyBorder="1" applyAlignment="1" applyProtection="1">
      <alignment horizontal="center" vertical="center" wrapText="1"/>
      <protection locked="0"/>
    </xf>
    <xf numFmtId="0" fontId="151" fillId="21" borderId="95" xfId="5969" applyFont="1" applyFill="1" applyBorder="1" applyAlignment="1" applyProtection="1">
      <alignment horizontal="center" vertical="center" wrapText="1"/>
      <protection locked="0"/>
    </xf>
    <xf numFmtId="0" fontId="151" fillId="21" borderId="31" xfId="5969" applyFont="1" applyFill="1" applyBorder="1" applyAlignment="1" applyProtection="1">
      <alignment horizontal="center" vertical="center" wrapText="1"/>
      <protection locked="0"/>
    </xf>
    <xf numFmtId="0" fontId="151" fillId="21" borderId="31" xfId="5969" applyFont="1" applyFill="1" applyBorder="1" applyAlignment="1" applyProtection="1">
      <alignment vertical="center" wrapText="1"/>
      <protection locked="0"/>
    </xf>
    <xf numFmtId="2" fontId="151" fillId="21" borderId="31" xfId="5969" applyNumberFormat="1" applyFont="1" applyFill="1" applyBorder="1" applyAlignment="1" applyProtection="1">
      <alignment horizontal="center" vertical="center" wrapText="1"/>
      <protection locked="0"/>
    </xf>
    <xf numFmtId="2" fontId="151" fillId="21" borderId="65" xfId="5969" applyNumberFormat="1" applyFont="1" applyFill="1" applyBorder="1" applyAlignment="1" applyProtection="1">
      <alignment vertical="center" wrapText="1"/>
      <protection locked="0"/>
    </xf>
    <xf numFmtId="2" fontId="151" fillId="21" borderId="96" xfId="5969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5969" applyBorder="1" applyAlignment="1" applyProtection="1">
      <alignment vertical="center" wrapText="1"/>
      <protection locked="0"/>
    </xf>
    <xf numFmtId="0" fontId="90" fillId="0" borderId="12" xfId="5969" applyFont="1" applyBorder="1" applyAlignment="1" applyProtection="1">
      <alignment horizontal="center"/>
      <protection locked="0"/>
    </xf>
    <xf numFmtId="0" fontId="3" fillId="15" borderId="12" xfId="5969" applyFill="1" applyBorder="1" applyAlignment="1" applyProtection="1">
      <alignment horizontal="center" vertical="center" wrapText="1"/>
      <protection locked="0"/>
    </xf>
    <xf numFmtId="0" fontId="163" fillId="0" borderId="12" xfId="5969" applyFont="1" applyFill="1" applyBorder="1" applyAlignment="1" applyProtection="1">
      <alignment horizontal="center" vertical="center" wrapText="1"/>
      <protection locked="0"/>
    </xf>
    <xf numFmtId="168" fontId="3" fillId="22" borderId="38" xfId="5969" applyNumberFormat="1" applyFill="1" applyBorder="1" applyAlignment="1" applyProtection="1">
      <alignment horizontal="center" vertical="center" wrapText="1"/>
      <protection locked="0"/>
    </xf>
    <xf numFmtId="168" fontId="3" fillId="22" borderId="18" xfId="5969" applyNumberFormat="1" applyFill="1" applyBorder="1" applyAlignment="1" applyProtection="1">
      <alignment horizontal="center" vertical="center" wrapText="1"/>
      <protection locked="0"/>
    </xf>
    <xf numFmtId="2" fontId="164" fillId="23" borderId="97" xfId="5969" applyNumberFormat="1" applyFont="1" applyFill="1" applyBorder="1" applyAlignment="1" applyProtection="1">
      <alignment horizontal="center" vertical="center" wrapText="1"/>
    </xf>
    <xf numFmtId="0" fontId="151" fillId="21" borderId="96" xfId="5969" applyFont="1" applyFill="1" applyBorder="1" applyAlignment="1" applyProtection="1">
      <alignment horizontal="center" vertical="center" wrapText="1"/>
      <protection locked="0"/>
    </xf>
    <xf numFmtId="0" fontId="3" fillId="0" borderId="9" xfId="5969" applyBorder="1" applyAlignment="1" applyProtection="1">
      <alignment vertical="center" wrapText="1"/>
      <protection locked="0"/>
    </xf>
    <xf numFmtId="0" fontId="165" fillId="0" borderId="1" xfId="5969" applyFont="1" applyBorder="1" applyAlignment="1" applyProtection="1">
      <alignment horizontal="center"/>
      <protection locked="0"/>
    </xf>
    <xf numFmtId="0" fontId="3" fillId="15" borderId="1" xfId="5969" applyFill="1" applyBorder="1" applyAlignment="1" applyProtection="1">
      <alignment horizontal="center" vertical="center" wrapText="1"/>
      <protection locked="0"/>
    </xf>
    <xf numFmtId="0" fontId="163" fillId="0" borderId="1" xfId="5969" applyFont="1" applyFill="1" applyBorder="1" applyAlignment="1" applyProtection="1">
      <alignment horizontal="center" vertical="center"/>
      <protection locked="0"/>
    </xf>
    <xf numFmtId="2" fontId="3" fillId="0" borderId="98" xfId="5969" applyNumberFormat="1" applyFill="1" applyBorder="1" applyAlignment="1" applyProtection="1">
      <alignment horizontal="center" vertical="center" wrapText="1"/>
      <protection locked="0"/>
    </xf>
    <xf numFmtId="0" fontId="90" fillId="0" borderId="18" xfId="5969" applyFont="1" applyBorder="1" applyAlignment="1" applyProtection="1">
      <alignment horizontal="center" vertical="center"/>
      <protection locked="0"/>
    </xf>
    <xf numFmtId="0" fontId="163" fillId="0" borderId="18" xfId="5969" applyFont="1" applyFill="1" applyBorder="1" applyAlignment="1" applyProtection="1">
      <alignment horizontal="center" vertical="center" wrapText="1"/>
      <protection locked="0"/>
    </xf>
    <xf numFmtId="0" fontId="166" fillId="0" borderId="0" xfId="5969" applyFont="1" applyAlignment="1" applyProtection="1">
      <alignment horizontal="center" vertical="center"/>
      <protection locked="0"/>
    </xf>
    <xf numFmtId="168" fontId="3" fillId="24" borderId="27" xfId="5969" applyNumberFormat="1" applyFill="1" applyBorder="1" applyAlignment="1" applyProtection="1">
      <alignment horizontal="center" vertical="center" wrapText="1"/>
      <protection locked="0"/>
    </xf>
    <xf numFmtId="0" fontId="3" fillId="17" borderId="9" xfId="5969" applyFill="1" applyBorder="1" applyAlignment="1" applyProtection="1">
      <alignment vertical="center" wrapText="1"/>
      <protection locked="0"/>
    </xf>
    <xf numFmtId="1" fontId="3" fillId="22" borderId="27" xfId="5969" applyNumberFormat="1" applyFill="1" applyBorder="1" applyAlignment="1" applyProtection="1">
      <alignment horizontal="center" vertical="center" wrapText="1"/>
      <protection locked="0"/>
    </xf>
    <xf numFmtId="2" fontId="3" fillId="0" borderId="99" xfId="5969" applyNumberFormat="1" applyFill="1" applyBorder="1" applyAlignment="1" applyProtection="1">
      <alignment horizontal="center" vertical="center" wrapText="1"/>
      <protection locked="0"/>
    </xf>
    <xf numFmtId="0" fontId="161" fillId="0" borderId="18" xfId="5969" applyFont="1" applyBorder="1" applyAlignment="1" applyProtection="1">
      <alignment horizontal="center" vertical="center"/>
      <protection locked="0"/>
    </xf>
    <xf numFmtId="0" fontId="29" fillId="0" borderId="18" xfId="5969" applyFont="1" applyBorder="1" applyAlignment="1" applyProtection="1">
      <alignment horizontal="center" vertical="center"/>
      <protection locked="0"/>
    </xf>
    <xf numFmtId="1" fontId="3" fillId="24" borderId="27" xfId="5969" applyNumberFormat="1" applyFill="1" applyBorder="1" applyAlignment="1" applyProtection="1">
      <alignment horizontal="center" vertical="center" wrapText="1"/>
      <protection locked="0"/>
    </xf>
    <xf numFmtId="0" fontId="165" fillId="0" borderId="18" xfId="5969" applyFont="1" applyBorder="1" applyAlignment="1" applyProtection="1">
      <alignment horizontal="center" vertical="center"/>
      <protection locked="0"/>
    </xf>
    <xf numFmtId="0" fontId="168" fillId="0" borderId="1" xfId="5969" applyFont="1" applyFill="1" applyBorder="1" applyAlignment="1" applyProtection="1">
      <alignment horizontal="center" vertical="center" wrapText="1"/>
      <protection locked="0"/>
    </xf>
    <xf numFmtId="0" fontId="165" fillId="0" borderId="18" xfId="5969" applyFont="1" applyFill="1" applyBorder="1" applyAlignment="1" applyProtection="1">
      <alignment horizontal="center" vertical="center" wrapText="1"/>
      <protection locked="0"/>
    </xf>
    <xf numFmtId="168" fontId="164" fillId="23" borderId="27" xfId="5969" applyNumberFormat="1" applyFont="1" applyFill="1" applyBorder="1" applyAlignment="1" applyProtection="1">
      <alignment horizontal="center" vertical="center" wrapText="1"/>
    </xf>
    <xf numFmtId="0" fontId="3" fillId="0" borderId="9" xfId="5969" applyBorder="1" applyAlignment="1" applyProtection="1">
      <alignment vertical="center"/>
      <protection locked="0"/>
    </xf>
    <xf numFmtId="170" fontId="3" fillId="24" borderId="27" xfId="5969" applyNumberFormat="1" applyFill="1" applyBorder="1" applyAlignment="1" applyProtection="1">
      <alignment horizontal="center" vertical="center" wrapText="1"/>
      <protection locked="0"/>
    </xf>
    <xf numFmtId="170" fontId="3" fillId="22" borderId="27" xfId="5969" applyNumberFormat="1" applyFill="1" applyBorder="1" applyAlignment="1" applyProtection="1">
      <alignment horizontal="center" vertical="center" wrapText="1"/>
      <protection locked="0"/>
    </xf>
    <xf numFmtId="170" fontId="164" fillId="22" borderId="27" xfId="5969" applyNumberFormat="1" applyFont="1" applyFill="1" applyBorder="1" applyAlignment="1" applyProtection="1">
      <alignment horizontal="center" vertical="center" wrapText="1"/>
      <protection locked="0"/>
    </xf>
    <xf numFmtId="0" fontId="165" fillId="0" borderId="18" xfId="5969" applyFont="1" applyBorder="1" applyAlignment="1" applyProtection="1">
      <alignment horizontal="center" vertical="center" wrapText="1"/>
      <protection locked="0"/>
    </xf>
    <xf numFmtId="168" fontId="164" fillId="23" borderId="27" xfId="59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969" applyBorder="1" applyProtection="1">
      <protection locked="0"/>
    </xf>
    <xf numFmtId="0" fontId="165" fillId="17" borderId="1" xfId="5969" applyFont="1" applyFill="1" applyBorder="1" applyAlignment="1" applyProtection="1">
      <alignment horizontal="center" vertical="center"/>
      <protection locked="0"/>
    </xf>
    <xf numFmtId="2" fontId="3" fillId="24" borderId="27" xfId="5969" applyNumberFormat="1" applyFill="1" applyBorder="1" applyAlignment="1" applyProtection="1">
      <alignment horizontal="center" vertical="center" wrapText="1"/>
      <protection locked="0"/>
    </xf>
    <xf numFmtId="3" fontId="3" fillId="24" borderId="1" xfId="5969" applyNumberFormat="1" applyFill="1" applyBorder="1" applyAlignment="1" applyProtection="1">
      <alignment horizontal="center" vertical="center" wrapText="1"/>
      <protection locked="0"/>
    </xf>
    <xf numFmtId="3" fontId="164" fillId="23" borderId="99" xfId="5969" applyNumberFormat="1" applyFont="1" applyFill="1" applyBorder="1" applyAlignment="1" applyProtection="1">
      <alignment horizontal="center" vertical="center" wrapText="1"/>
    </xf>
    <xf numFmtId="0" fontId="3" fillId="15" borderId="0" xfId="5969" applyFill="1" applyProtection="1">
      <protection locked="0"/>
    </xf>
    <xf numFmtId="0" fontId="3" fillId="0" borderId="9" xfId="5969" applyFill="1" applyBorder="1" applyAlignment="1" applyProtection="1">
      <alignment vertical="center" wrapText="1"/>
      <protection locked="0"/>
    </xf>
    <xf numFmtId="0" fontId="165" fillId="0" borderId="18" xfId="5969" applyFont="1" applyFill="1" applyBorder="1" applyAlignment="1" applyProtection="1">
      <alignment horizontal="center" vertical="center"/>
      <protection locked="0"/>
    </xf>
    <xf numFmtId="1" fontId="3" fillId="22" borderId="1" xfId="5969" applyNumberFormat="1" applyFill="1" applyBorder="1" applyAlignment="1" applyProtection="1">
      <alignment horizontal="center" vertical="center" wrapText="1"/>
      <protection locked="0"/>
    </xf>
    <xf numFmtId="2" fontId="3" fillId="22" borderId="1" xfId="5969" applyNumberFormat="1" applyFill="1" applyBorder="1" applyAlignment="1" applyProtection="1">
      <alignment horizontal="center" vertical="center" wrapText="1"/>
      <protection locked="0"/>
    </xf>
    <xf numFmtId="0" fontId="3" fillId="15" borderId="1" xfId="5969" applyFill="1" applyBorder="1" applyAlignment="1" applyProtection="1">
      <alignment horizontal="center" vertical="center"/>
      <protection locked="0"/>
    </xf>
    <xf numFmtId="2" fontId="3" fillId="24" borderId="1" xfId="5969" applyNumberFormat="1" applyFill="1" applyBorder="1" applyAlignment="1" applyProtection="1">
      <alignment horizontal="center" vertical="center"/>
      <protection locked="0"/>
    </xf>
    <xf numFmtId="0" fontId="3" fillId="0" borderId="9" xfId="5969" applyFill="1" applyBorder="1" applyAlignment="1" applyProtection="1">
      <alignment vertical="center"/>
      <protection locked="0"/>
    </xf>
    <xf numFmtId="200" fontId="3" fillId="22" borderId="1" xfId="5969" applyNumberFormat="1" applyFill="1" applyBorder="1" applyAlignment="1" applyProtection="1">
      <alignment horizontal="center" vertical="center"/>
      <protection locked="0"/>
    </xf>
    <xf numFmtId="0" fontId="3" fillId="0" borderId="99" xfId="5969" applyFill="1" applyBorder="1" applyProtection="1">
      <protection locked="0"/>
    </xf>
    <xf numFmtId="0" fontId="3" fillId="24" borderId="1" xfId="5969" applyFill="1" applyBorder="1" applyAlignment="1" applyProtection="1">
      <alignment horizontal="center" vertical="center"/>
      <protection locked="0"/>
    </xf>
    <xf numFmtId="0" fontId="3" fillId="17" borderId="1" xfId="5969" applyFill="1" applyBorder="1" applyProtection="1">
      <protection locked="0"/>
    </xf>
    <xf numFmtId="0" fontId="3" fillId="0" borderId="1" xfId="5969" applyFont="1" applyFill="1" applyBorder="1" applyAlignment="1" applyProtection="1">
      <alignment horizontal="center" vertical="center"/>
      <protection locked="0"/>
    </xf>
    <xf numFmtId="2" fontId="3" fillId="0" borderId="99" xfId="5969" applyNumberFormat="1" applyFill="1" applyBorder="1" applyAlignment="1" applyProtection="1">
      <alignment horizontal="center"/>
      <protection locked="0"/>
    </xf>
    <xf numFmtId="0" fontId="3" fillId="15" borderId="27" xfId="5969" applyFill="1" applyBorder="1" applyAlignment="1" applyProtection="1">
      <alignment horizontal="center" vertical="center"/>
      <protection locked="0"/>
    </xf>
    <xf numFmtId="0" fontId="165" fillId="0" borderId="1" xfId="5969" applyFont="1" applyBorder="1" applyAlignment="1" applyProtection="1">
      <alignment horizontal="center" vertical="center"/>
      <protection locked="0"/>
    </xf>
    <xf numFmtId="0" fontId="3" fillId="0" borderId="1" xfId="5969" applyBorder="1"/>
    <xf numFmtId="0" fontId="3" fillId="0" borderId="1" xfId="5969" applyFont="1" applyFill="1" applyBorder="1" applyAlignment="1" applyProtection="1">
      <alignment horizontal="center" vertical="center" wrapText="1"/>
      <protection locked="0"/>
    </xf>
    <xf numFmtId="0" fontId="16" fillId="0" borderId="1" xfId="5969" applyFont="1" applyBorder="1" applyAlignment="1" applyProtection="1">
      <alignment horizontal="center" vertical="center"/>
      <protection locked="0"/>
    </xf>
    <xf numFmtId="0" fontId="3" fillId="24" borderId="27" xfId="5969" applyFill="1" applyBorder="1" applyAlignment="1" applyProtection="1">
      <alignment horizontal="center" vertical="center"/>
      <protection locked="0"/>
    </xf>
    <xf numFmtId="168" fontId="3" fillId="24" borderId="27" xfId="5969" applyNumberFormat="1" applyFill="1" applyBorder="1" applyAlignment="1" applyProtection="1">
      <alignment horizontal="center" vertical="center"/>
      <protection locked="0"/>
    </xf>
    <xf numFmtId="0" fontId="104" fillId="0" borderId="18" xfId="5969" applyFont="1" applyBorder="1" applyAlignment="1" applyProtection="1">
      <alignment horizontal="center" vertical="center"/>
      <protection locked="0"/>
    </xf>
    <xf numFmtId="2" fontId="164" fillId="23" borderId="27" xfId="5969" applyNumberFormat="1" applyFont="1" applyFill="1" applyBorder="1" applyAlignment="1" applyProtection="1">
      <alignment horizontal="center" vertical="center"/>
    </xf>
    <xf numFmtId="0" fontId="172" fillId="0" borderId="1" xfId="5969" applyFont="1" applyBorder="1" applyAlignment="1" applyProtection="1">
      <alignment horizontal="center" vertical="center"/>
      <protection locked="0"/>
    </xf>
    <xf numFmtId="2" fontId="3" fillId="24" borderId="27" xfId="5969" applyNumberFormat="1" applyFill="1" applyBorder="1" applyAlignment="1" applyProtection="1">
      <alignment horizontal="center" vertical="center"/>
      <protection locked="0"/>
    </xf>
    <xf numFmtId="0" fontId="3" fillId="0" borderId="17" xfId="5969" applyFill="1" applyBorder="1" applyAlignment="1" applyProtection="1">
      <alignment vertical="center" wrapText="1"/>
      <protection locked="0"/>
    </xf>
    <xf numFmtId="0" fontId="3" fillId="15" borderId="18" xfId="5969" applyFill="1" applyBorder="1" applyAlignment="1" applyProtection="1">
      <alignment horizontal="center" vertical="center"/>
      <protection locked="0"/>
    </xf>
    <xf numFmtId="0" fontId="3" fillId="0" borderId="45" xfId="5969" applyBorder="1" applyAlignment="1" applyProtection="1">
      <alignment vertical="center" wrapText="1"/>
      <protection locked="0"/>
    </xf>
    <xf numFmtId="0" fontId="165" fillId="0" borderId="16" xfId="5969" applyFont="1" applyBorder="1" applyAlignment="1" applyProtection="1">
      <alignment horizontal="center" vertical="center"/>
      <protection locked="0"/>
    </xf>
    <xf numFmtId="0" fontId="3" fillId="15" borderId="46" xfId="5969" applyFill="1" applyBorder="1" applyAlignment="1" applyProtection="1">
      <alignment horizontal="center" vertical="center"/>
      <protection locked="0"/>
    </xf>
    <xf numFmtId="0" fontId="163" fillId="0" borderId="16" xfId="5969" applyFont="1" applyFill="1" applyBorder="1" applyAlignment="1" applyProtection="1">
      <alignment horizontal="center" vertical="center" wrapText="1"/>
      <protection locked="0"/>
    </xf>
    <xf numFmtId="0" fontId="3" fillId="24" borderId="29" xfId="5969" applyFill="1" applyBorder="1" applyAlignment="1" applyProtection="1">
      <alignment horizontal="center" vertical="center"/>
      <protection locked="0"/>
    </xf>
    <xf numFmtId="2" fontId="3" fillId="0" borderId="100" xfId="5969" applyNumberFormat="1" applyFill="1" applyBorder="1" applyAlignment="1" applyProtection="1">
      <alignment horizontal="center"/>
      <protection locked="0"/>
    </xf>
    <xf numFmtId="0" fontId="151" fillId="21" borderId="90" xfId="5969" applyFont="1" applyFill="1" applyBorder="1" applyAlignment="1" applyProtection="1">
      <alignment horizontal="center" vertical="center"/>
    </xf>
    <xf numFmtId="0" fontId="3" fillId="17" borderId="15" xfId="5969" applyFill="1" applyBorder="1" applyAlignment="1" applyProtection="1">
      <alignment vertical="center"/>
    </xf>
    <xf numFmtId="0" fontId="165" fillId="0" borderId="12" xfId="5969" applyFont="1" applyBorder="1" applyAlignment="1" applyProtection="1">
      <alignment horizontal="center" vertical="center"/>
      <protection locked="0"/>
    </xf>
    <xf numFmtId="0" fontId="3" fillId="15" borderId="12" xfId="5969" applyFill="1" applyBorder="1" applyAlignment="1" applyProtection="1">
      <alignment horizontal="center" vertical="center"/>
    </xf>
    <xf numFmtId="0" fontId="165" fillId="0" borderId="12" xfId="5969" applyFont="1" applyFill="1" applyBorder="1" applyAlignment="1" applyProtection="1">
      <alignment horizontal="center" vertical="center"/>
      <protection locked="0"/>
    </xf>
    <xf numFmtId="2" fontId="164" fillId="23" borderId="12" xfId="5969" applyNumberFormat="1" applyFont="1" applyFill="1" applyBorder="1" applyAlignment="1" applyProtection="1">
      <alignment horizontal="center" vertical="center"/>
    </xf>
    <xf numFmtId="2" fontId="3" fillId="0" borderId="97" xfId="5969" applyNumberFormat="1" applyFill="1" applyBorder="1" applyAlignment="1" applyProtection="1">
      <alignment horizontal="center"/>
      <protection locked="0"/>
    </xf>
    <xf numFmtId="0" fontId="165" fillId="0" borderId="0" xfId="5969" applyFont="1" applyProtection="1">
      <protection locked="0"/>
    </xf>
    <xf numFmtId="0" fontId="151" fillId="21" borderId="62" xfId="5969" applyFont="1" applyFill="1" applyBorder="1" applyAlignment="1" applyProtection="1">
      <alignment horizontal="center" vertical="center"/>
    </xf>
    <xf numFmtId="0" fontId="3" fillId="17" borderId="9" xfId="5969" applyFill="1" applyBorder="1" applyAlignment="1" applyProtection="1">
      <alignment vertical="center"/>
    </xf>
    <xf numFmtId="0" fontId="3" fillId="15" borderId="1" xfId="5969" applyFill="1" applyBorder="1" applyAlignment="1" applyProtection="1">
      <alignment horizontal="center" vertical="center"/>
    </xf>
    <xf numFmtId="2" fontId="164" fillId="23" borderId="1" xfId="5969" applyNumberFormat="1" applyFont="1" applyFill="1" applyBorder="1" applyAlignment="1" applyProtection="1">
      <alignment horizontal="center" vertical="center"/>
    </xf>
    <xf numFmtId="0" fontId="3" fillId="17" borderId="9" xfId="5969" applyFill="1" applyBorder="1" applyAlignment="1" applyProtection="1">
      <alignment vertical="center" wrapText="1"/>
    </xf>
    <xf numFmtId="0" fontId="151" fillId="21" borderId="101" xfId="5969" applyFont="1" applyFill="1" applyBorder="1" applyAlignment="1" applyProtection="1">
      <alignment horizontal="center" vertical="center"/>
    </xf>
    <xf numFmtId="0" fontId="3" fillId="17" borderId="11" xfId="5969" applyFill="1" applyBorder="1" applyAlignment="1" applyProtection="1">
      <alignment vertical="center"/>
    </xf>
    <xf numFmtId="0" fontId="165" fillId="0" borderId="14" xfId="5969" applyFont="1" applyBorder="1" applyAlignment="1" applyProtection="1">
      <alignment horizontal="center" vertical="center"/>
      <protection locked="0"/>
    </xf>
    <xf numFmtId="0" fontId="3" fillId="15" borderId="14" xfId="5969" applyFill="1" applyBorder="1" applyAlignment="1" applyProtection="1">
      <alignment horizontal="center" vertical="center"/>
    </xf>
    <xf numFmtId="0" fontId="165" fillId="0" borderId="14" xfId="5969" applyFont="1" applyFill="1" applyBorder="1" applyAlignment="1" applyProtection="1">
      <alignment horizontal="center" vertical="center"/>
      <protection locked="0"/>
    </xf>
    <xf numFmtId="2" fontId="164" fillId="23" borderId="30" xfId="5969" applyNumberFormat="1" applyFont="1" applyFill="1" applyBorder="1" applyAlignment="1" applyProtection="1">
      <alignment horizontal="center" vertical="center"/>
    </xf>
    <xf numFmtId="2" fontId="164" fillId="23" borderId="94" xfId="5969" applyNumberFormat="1" applyFont="1" applyFill="1" applyBorder="1" applyAlignment="1" applyProtection="1">
      <alignment horizontal="center" vertical="center"/>
    </xf>
    <xf numFmtId="0" fontId="151" fillId="21" borderId="97" xfId="5969" applyFont="1" applyFill="1" applyBorder="1" applyAlignment="1" applyProtection="1">
      <alignment horizontal="center" vertical="center"/>
    </xf>
    <xf numFmtId="0" fontId="3" fillId="17" borderId="15" xfId="5969" applyFill="1" applyBorder="1" applyAlignment="1" applyProtection="1">
      <alignment vertical="center" wrapText="1"/>
    </xf>
    <xf numFmtId="2" fontId="3" fillId="0" borderId="97" xfId="5969" applyNumberFormat="1" applyBorder="1" applyAlignment="1" applyProtection="1">
      <alignment horizontal="center" vertical="center"/>
    </xf>
    <xf numFmtId="0" fontId="151" fillId="21" borderId="99" xfId="5969" applyFont="1" applyFill="1" applyBorder="1" applyAlignment="1" applyProtection="1">
      <alignment horizontal="center" vertical="center"/>
    </xf>
    <xf numFmtId="2" fontId="3" fillId="0" borderId="99" xfId="5969" applyNumberFormat="1" applyBorder="1" applyAlignment="1" applyProtection="1">
      <alignment horizontal="center" vertical="center"/>
    </xf>
    <xf numFmtId="0" fontId="172" fillId="0" borderId="18" xfId="5969" applyFont="1" applyBorder="1" applyAlignment="1" applyProtection="1">
      <alignment horizontal="center" vertical="center"/>
      <protection locked="0"/>
    </xf>
    <xf numFmtId="0" fontId="29" fillId="0" borderId="18" xfId="5969" applyFont="1" applyFill="1" applyBorder="1" applyAlignment="1" applyProtection="1">
      <alignment horizontal="center" vertical="center"/>
      <protection locked="0"/>
    </xf>
    <xf numFmtId="2" fontId="164" fillId="25" borderId="1" xfId="5969" applyNumberFormat="1" applyFont="1" applyFill="1" applyBorder="1" applyAlignment="1" applyProtection="1">
      <alignment horizontal="center" vertical="center"/>
    </xf>
    <xf numFmtId="0" fontId="3" fillId="0" borderId="1" xfId="5969" applyFill="1" applyBorder="1" applyAlignment="1" applyProtection="1">
      <alignment horizontal="center" vertical="center" wrapText="1"/>
    </xf>
    <xf numFmtId="0" fontId="161" fillId="0" borderId="18" xfId="5969" applyFont="1" applyFill="1" applyBorder="1" applyAlignment="1" applyProtection="1">
      <alignment horizontal="center" vertical="center" wrapText="1"/>
      <protection locked="0"/>
    </xf>
    <xf numFmtId="0" fontId="161" fillId="0" borderId="18" xfId="5969" applyFont="1" applyFill="1" applyBorder="1" applyAlignment="1" applyProtection="1">
      <alignment horizontal="center" vertical="center"/>
      <protection locked="0"/>
    </xf>
    <xf numFmtId="0" fontId="3" fillId="0" borderId="9" xfId="5969" applyFill="1" applyBorder="1" applyAlignment="1" applyProtection="1">
      <alignment vertical="center"/>
    </xf>
    <xf numFmtId="0" fontId="151" fillId="21" borderId="102" xfId="5969" applyFont="1" applyFill="1" applyBorder="1" applyAlignment="1" applyProtection="1">
      <alignment horizontal="center" vertical="center"/>
    </xf>
    <xf numFmtId="0" fontId="3" fillId="17" borderId="22" xfId="5969" applyFill="1" applyBorder="1" applyAlignment="1" applyProtection="1">
      <alignment vertical="center" wrapText="1"/>
    </xf>
    <xf numFmtId="0" fontId="3" fillId="15" borderId="16" xfId="5969" applyFill="1" applyBorder="1" applyAlignment="1" applyProtection="1">
      <alignment horizontal="center" vertical="center"/>
    </xf>
    <xf numFmtId="2" fontId="164" fillId="23" borderId="65" xfId="5969" applyNumberFormat="1" applyFont="1" applyFill="1" applyBorder="1" applyAlignment="1" applyProtection="1">
      <alignment horizontal="center" vertical="center"/>
    </xf>
    <xf numFmtId="2" fontId="164" fillId="23" borderId="102" xfId="5969" applyNumberFormat="1" applyFont="1" applyFill="1" applyBorder="1" applyAlignment="1" applyProtection="1">
      <alignment horizontal="center" vertical="center"/>
    </xf>
    <xf numFmtId="0" fontId="151" fillId="21" borderId="93" xfId="5969" applyFont="1" applyFill="1" applyBorder="1" applyAlignment="1" applyProtection="1">
      <alignment horizontal="center" vertical="center"/>
    </xf>
    <xf numFmtId="0" fontId="3" fillId="0" borderId="15" xfId="5969" applyBorder="1" applyAlignment="1" applyProtection="1">
      <alignment vertical="center" wrapText="1"/>
    </xf>
    <xf numFmtId="2" fontId="164" fillId="23" borderId="38" xfId="5969" applyNumberFormat="1" applyFont="1" applyFill="1" applyBorder="1" applyAlignment="1" applyProtection="1">
      <alignment horizontal="center" vertical="center"/>
    </xf>
    <xf numFmtId="0" fontId="3" fillId="0" borderId="98" xfId="5969" applyBorder="1" applyAlignment="1" applyProtection="1">
      <alignment horizontal="center"/>
    </xf>
    <xf numFmtId="0" fontId="151" fillId="21" borderId="96" xfId="5969" applyFont="1" applyFill="1" applyBorder="1" applyAlignment="1" applyProtection="1">
      <alignment horizontal="center" vertical="center"/>
    </xf>
    <xf numFmtId="0" fontId="3" fillId="15" borderId="18" xfId="5969" applyFill="1" applyBorder="1" applyAlignment="1" applyProtection="1">
      <alignment horizontal="center" vertical="center"/>
    </xf>
    <xf numFmtId="0" fontId="3" fillId="0" borderId="99" xfId="5969" applyBorder="1" applyAlignment="1" applyProtection="1">
      <alignment horizontal="center"/>
    </xf>
    <xf numFmtId="0" fontId="3" fillId="0" borderId="9" xfId="5969" applyBorder="1" applyAlignment="1" applyProtection="1">
      <alignment vertical="center" wrapText="1"/>
    </xf>
    <xf numFmtId="0" fontId="164" fillId="23" borderId="27" xfId="5969" applyFont="1" applyFill="1" applyBorder="1" applyAlignment="1" applyProtection="1">
      <alignment horizontal="center" vertical="center"/>
    </xf>
    <xf numFmtId="0" fontId="3" fillId="0" borderId="22" xfId="5969" applyBorder="1" applyAlignment="1" applyProtection="1">
      <alignment vertical="center"/>
    </xf>
    <xf numFmtId="0" fontId="165" fillId="0" borderId="14" xfId="5969" applyFont="1" applyFill="1" applyBorder="1" applyAlignment="1" applyProtection="1">
      <alignment horizontal="center" vertical="center" wrapText="1"/>
      <protection locked="0"/>
    </xf>
    <xf numFmtId="4" fontId="164" fillId="23" borderId="102" xfId="5969" applyNumberFormat="1" applyFont="1" applyFill="1" applyBorder="1" applyAlignment="1" applyProtection="1">
      <alignment horizontal="center" vertical="center"/>
    </xf>
    <xf numFmtId="0" fontId="3" fillId="15" borderId="41" xfId="5969" applyFill="1" applyBorder="1" applyAlignment="1" applyProtection="1">
      <alignment horizontal="center" vertical="center"/>
    </xf>
    <xf numFmtId="0" fontId="165" fillId="0" borderId="31" xfId="5969" applyFont="1" applyFill="1" applyBorder="1" applyAlignment="1" applyProtection="1">
      <alignment horizontal="center" vertical="center"/>
      <protection locked="0"/>
    </xf>
    <xf numFmtId="4" fontId="164" fillId="23" borderId="76" xfId="5969" applyNumberFormat="1" applyFont="1" applyFill="1" applyBorder="1" applyAlignment="1" applyProtection="1">
      <alignment horizontal="center" vertical="center"/>
    </xf>
    <xf numFmtId="4" fontId="164" fillId="23" borderId="94" xfId="5969" applyNumberFormat="1" applyFont="1" applyFill="1" applyBorder="1" applyAlignment="1" applyProtection="1">
      <alignment horizontal="center" vertical="center"/>
    </xf>
    <xf numFmtId="0" fontId="153" fillId="0" borderId="2" xfId="5969" applyFont="1" applyBorder="1" applyAlignment="1" applyProtection="1">
      <alignment horizontal="center" vertical="center"/>
    </xf>
    <xf numFmtId="0" fontId="153" fillId="0" borderId="49" xfId="5969" applyFont="1" applyBorder="1" applyAlignment="1" applyProtection="1">
      <alignment horizontal="center" vertical="center"/>
    </xf>
    <xf numFmtId="0" fontId="151" fillId="21" borderId="98" xfId="5969" applyFont="1" applyFill="1" applyBorder="1" applyAlignment="1" applyProtection="1">
      <alignment horizontal="center" vertical="center"/>
    </xf>
    <xf numFmtId="0" fontId="172" fillId="0" borderId="92" xfId="5969" applyFont="1" applyFill="1" applyBorder="1" applyAlignment="1" applyProtection="1">
      <alignment horizontal="left" vertical="center"/>
    </xf>
    <xf numFmtId="0" fontId="3" fillId="0" borderId="20" xfId="5969" applyFill="1" applyBorder="1" applyAlignment="1" applyProtection="1">
      <alignment horizontal="left" vertical="center"/>
    </xf>
    <xf numFmtId="0" fontId="3" fillId="0" borderId="103" xfId="5969" applyFill="1" applyBorder="1" applyAlignment="1" applyProtection="1">
      <alignment horizontal="left" vertical="center"/>
    </xf>
    <xf numFmtId="4" fontId="164" fillId="23" borderId="17" xfId="5969" applyNumberFormat="1" applyFont="1" applyFill="1" applyBorder="1" applyAlignment="1" applyProtection="1">
      <alignment horizontal="center" vertical="center"/>
    </xf>
    <xf numFmtId="4" fontId="164" fillId="23" borderId="18" xfId="5969" applyNumberFormat="1" applyFont="1" applyFill="1" applyBorder="1" applyAlignment="1" applyProtection="1">
      <alignment horizontal="center" vertical="center"/>
    </xf>
    <xf numFmtId="4" fontId="164" fillId="23" borderId="98" xfId="5969" applyNumberFormat="1" applyFont="1" applyFill="1" applyBorder="1" applyAlignment="1" applyProtection="1">
      <alignment horizontal="center" vertical="center"/>
    </xf>
    <xf numFmtId="0" fontId="151" fillId="21" borderId="94" xfId="5969" applyFont="1" applyFill="1" applyBorder="1" applyAlignment="1" applyProtection="1">
      <alignment horizontal="center" vertical="center"/>
    </xf>
    <xf numFmtId="0" fontId="172" fillId="0" borderId="101" xfId="5969" applyFont="1" applyFill="1" applyBorder="1" applyAlignment="1" applyProtection="1">
      <alignment horizontal="left" vertical="center"/>
    </xf>
    <xf numFmtId="0" fontId="3" fillId="0" borderId="4" xfId="5969" applyFill="1" applyBorder="1" applyAlignment="1" applyProtection="1">
      <alignment horizontal="left" vertical="center"/>
    </xf>
    <xf numFmtId="0" fontId="3" fillId="0" borderId="104" xfId="5969" applyFill="1" applyBorder="1" applyAlignment="1" applyProtection="1">
      <alignment horizontal="left" vertical="center"/>
    </xf>
    <xf numFmtId="4" fontId="164" fillId="23" borderId="11" xfId="5969" applyNumberFormat="1" applyFont="1" applyFill="1" applyBorder="1" applyAlignment="1" applyProtection="1">
      <alignment horizontal="center" vertical="center"/>
    </xf>
    <xf numFmtId="4" fontId="164" fillId="23" borderId="14" xfId="5969" applyNumberFormat="1" applyFont="1" applyFill="1" applyBorder="1" applyAlignment="1" applyProtection="1">
      <alignment horizontal="center" vertical="center"/>
    </xf>
    <xf numFmtId="0" fontId="3" fillId="0" borderId="62" xfId="5969" applyBorder="1" applyAlignment="1" applyProtection="1">
      <alignment vertical="center"/>
      <protection locked="0"/>
    </xf>
    <xf numFmtId="0" fontId="173" fillId="0" borderId="0" xfId="5969" applyFont="1" applyAlignment="1">
      <alignment vertical="center"/>
    </xf>
    <xf numFmtId="0" fontId="3" fillId="0" borderId="0" xfId="5969" applyBorder="1" applyProtection="1">
      <protection locked="0"/>
    </xf>
    <xf numFmtId="0" fontId="3" fillId="0" borderId="0" xfId="5969" applyAlignment="1">
      <alignment vertical="center"/>
    </xf>
    <xf numFmtId="0" fontId="173" fillId="0" borderId="0" xfId="5969" applyFont="1"/>
    <xf numFmtId="0" fontId="151" fillId="0" borderId="0" xfId="5969" applyFont="1" applyAlignment="1" applyProtection="1">
      <alignment vertical="center"/>
      <protection locked="0"/>
    </xf>
    <xf numFmtId="0" fontId="152" fillId="23" borderId="0" xfId="5969" applyFont="1" applyFill="1" applyProtection="1">
      <protection locked="0"/>
    </xf>
    <xf numFmtId="0" fontId="3" fillId="24" borderId="0" xfId="5969" applyFill="1" applyProtection="1">
      <protection locked="0"/>
    </xf>
    <xf numFmtId="0" fontId="174" fillId="0" borderId="40" xfId="5969" applyFont="1" applyBorder="1" applyAlignment="1">
      <alignment horizontal="right" vertical="center"/>
    </xf>
    <xf numFmtId="0" fontId="175" fillId="0" borderId="40" xfId="5969" applyFont="1" applyBorder="1" applyAlignment="1">
      <alignment horizontal="right" vertical="center"/>
    </xf>
    <xf numFmtId="0" fontId="176" fillId="0" borderId="0" xfId="5969" applyFont="1" applyFill="1" applyAlignment="1">
      <alignment horizontal="center" vertical="center"/>
    </xf>
    <xf numFmtId="168" fontId="150" fillId="0" borderId="0" xfId="5969" applyNumberFormat="1" applyFont="1" applyAlignment="1" applyProtection="1">
      <alignment horizontal="left"/>
      <protection locked="0"/>
    </xf>
    <xf numFmtId="168" fontId="153" fillId="0" borderId="0" xfId="5969" applyNumberFormat="1" applyFont="1" applyProtection="1">
      <protection locked="0"/>
    </xf>
    <xf numFmtId="0" fontId="150" fillId="0" borderId="0" xfId="5969" applyFont="1" applyFill="1" applyAlignment="1">
      <alignment horizontal="right" vertical="center" wrapText="1"/>
    </xf>
    <xf numFmtId="2" fontId="150" fillId="0" borderId="0" xfId="5969" applyNumberFormat="1" applyFont="1" applyFill="1" applyAlignment="1">
      <alignment horizontal="center" vertical="center"/>
    </xf>
    <xf numFmtId="168" fontId="153" fillId="0" borderId="0" xfId="5969" applyNumberFormat="1" applyFont="1" applyFill="1" applyProtection="1">
      <protection locked="0"/>
    </xf>
    <xf numFmtId="0" fontId="177" fillId="0" borderId="0" xfId="5969" applyFont="1"/>
    <xf numFmtId="0" fontId="176" fillId="0" borderId="0" xfId="5969" applyFont="1" applyFill="1" applyAlignment="1">
      <alignment horizontal="center" vertical="center" wrapText="1"/>
    </xf>
    <xf numFmtId="0" fontId="176" fillId="0" borderId="0" xfId="5969" applyFont="1"/>
    <xf numFmtId="168" fontId="178" fillId="0" borderId="0" xfId="5969" applyNumberFormat="1" applyFont="1" applyFill="1" applyAlignment="1" applyProtection="1">
      <alignment horizontal="right"/>
    </xf>
    <xf numFmtId="0" fontId="154" fillId="0" borderId="0" xfId="5969" applyFont="1" applyAlignment="1" applyProtection="1">
      <alignment horizontal="right" vertical="center"/>
      <protection locked="0"/>
    </xf>
    <xf numFmtId="0" fontId="153" fillId="0" borderId="0" xfId="5969" applyFont="1" applyAlignment="1">
      <alignment horizontal="left" vertical="center" wrapText="1"/>
    </xf>
    <xf numFmtId="0" fontId="153" fillId="0" borderId="0" xfId="5969" applyFont="1" applyAlignment="1">
      <alignment horizontal="center" vertical="center" wrapText="1"/>
    </xf>
    <xf numFmtId="168" fontId="154" fillId="0" borderId="0" xfId="5969" applyNumberFormat="1" applyFont="1" applyProtection="1">
      <protection locked="0"/>
    </xf>
    <xf numFmtId="0" fontId="154" fillId="0" borderId="0" xfId="5969" applyFont="1" applyFill="1" applyProtection="1">
      <protection locked="0"/>
    </xf>
    <xf numFmtId="0" fontId="154" fillId="0" borderId="0" xfId="5969" applyFont="1" applyAlignment="1">
      <alignment horizontal="right" vertical="center" wrapText="1"/>
    </xf>
    <xf numFmtId="0" fontId="154" fillId="0" borderId="0" xfId="5969" applyFont="1" applyAlignment="1" applyProtection="1">
      <alignment horizontal="right"/>
      <protection locked="0"/>
    </xf>
    <xf numFmtId="0" fontId="154" fillId="0" borderId="0" xfId="5969" applyFont="1" applyAlignment="1">
      <alignment horizontal="left" vertical="center"/>
    </xf>
    <xf numFmtId="199" fontId="179" fillId="0" borderId="0" xfId="5969" applyNumberFormat="1" applyFont="1" applyFill="1" applyAlignment="1">
      <alignment horizontal="right" vertical="center"/>
    </xf>
    <xf numFmtId="0" fontId="154" fillId="0" borderId="0" xfId="5969" applyFont="1" applyAlignment="1">
      <alignment horizontal="center" vertical="center"/>
    </xf>
    <xf numFmtId="199" fontId="180" fillId="0" borderId="0" xfId="5969" applyNumberFormat="1" applyFont="1" applyFill="1" applyAlignment="1">
      <alignment horizontal="center" vertical="center"/>
    </xf>
    <xf numFmtId="199" fontId="180" fillId="0" borderId="0" xfId="5969" applyNumberFormat="1" applyFont="1" applyFill="1" applyAlignment="1">
      <alignment horizontal="right" vertical="center"/>
    </xf>
    <xf numFmtId="2" fontId="179" fillId="0" borderId="0" xfId="5969" applyNumberFormat="1" applyFont="1" applyFill="1" applyAlignment="1">
      <alignment horizontal="center" vertical="center"/>
    </xf>
    <xf numFmtId="2" fontId="179" fillId="0" borderId="0" xfId="5969" applyNumberFormat="1" applyFont="1" applyFill="1" applyAlignment="1">
      <alignment horizontal="right" vertical="center"/>
    </xf>
    <xf numFmtId="0" fontId="154" fillId="0" borderId="0" xfId="5969" applyFont="1" applyFill="1" applyAlignment="1">
      <alignment horizontal="left" vertical="center"/>
    </xf>
    <xf numFmtId="199" fontId="181" fillId="0" borderId="0" xfId="5969" applyNumberFormat="1" applyFont="1" applyFill="1" applyAlignment="1">
      <alignment horizontal="right" vertical="center"/>
    </xf>
    <xf numFmtId="0" fontId="14" fillId="0" borderId="40" xfId="2066" applyFont="1" applyBorder="1" applyAlignment="1">
      <alignment vertical="center"/>
    </xf>
    <xf numFmtId="0" fontId="14" fillId="0" borderId="40" xfId="2219" applyFont="1" applyBorder="1" applyAlignment="1">
      <alignment vertical="center"/>
    </xf>
    <xf numFmtId="0" fontId="14" fillId="0" borderId="40" xfId="2219" applyFont="1" applyBorder="1" applyAlignment="1">
      <alignment vertical="top" wrapText="1"/>
    </xf>
    <xf numFmtId="0" fontId="14" fillId="0" borderId="40" xfId="2219" applyFont="1" applyBorder="1" applyAlignment="1">
      <alignment horizontal="center" vertical="center"/>
    </xf>
    <xf numFmtId="0" fontId="14" fillId="0" borderId="16" xfId="2219" applyFont="1" applyFill="1" applyBorder="1" applyAlignment="1">
      <alignment horizontal="center" vertical="center"/>
    </xf>
    <xf numFmtId="0" fontId="14" fillId="0" borderId="33" xfId="2219" applyFont="1" applyFill="1" applyBorder="1" applyAlignment="1">
      <alignment horizontal="center" vertical="center" textRotation="90" wrapText="1"/>
    </xf>
    <xf numFmtId="49" fontId="14" fillId="0" borderId="29" xfId="2219" applyNumberFormat="1" applyFont="1" applyFill="1" applyBorder="1" applyAlignment="1">
      <alignment horizontal="center" vertical="center"/>
    </xf>
    <xf numFmtId="49" fontId="14" fillId="0" borderId="16" xfId="2219" applyNumberFormat="1" applyFont="1" applyFill="1" applyBorder="1" applyAlignment="1">
      <alignment horizontal="center" vertical="center"/>
    </xf>
    <xf numFmtId="0" fontId="14" fillId="0" borderId="28" xfId="2219" applyFont="1" applyFill="1" applyBorder="1" applyAlignment="1">
      <alignment horizontal="center" vertical="center"/>
    </xf>
    <xf numFmtId="168" fontId="14" fillId="0" borderId="16" xfId="2219" applyNumberFormat="1" applyFont="1" applyFill="1" applyBorder="1" applyAlignment="1">
      <alignment horizontal="center" vertical="center" wrapText="1"/>
    </xf>
    <xf numFmtId="0" fontId="14" fillId="0" borderId="16" xfId="2219" applyFont="1" applyFill="1" applyBorder="1" applyAlignment="1">
      <alignment horizontal="center" vertical="center" wrapText="1"/>
    </xf>
    <xf numFmtId="0" fontId="182" fillId="0" borderId="16" xfId="2219" applyFont="1" applyFill="1" applyBorder="1" applyAlignment="1">
      <alignment horizontal="center" vertical="center" wrapText="1"/>
    </xf>
    <xf numFmtId="168" fontId="182" fillId="0" borderId="16" xfId="2219" applyNumberFormat="1" applyFont="1" applyFill="1" applyBorder="1" applyAlignment="1">
      <alignment horizontal="center" vertical="center" wrapText="1"/>
    </xf>
    <xf numFmtId="0" fontId="183" fillId="0" borderId="48" xfId="2219" applyFont="1" applyFill="1" applyBorder="1" applyAlignment="1">
      <alignment horizontal="center" vertical="center"/>
    </xf>
    <xf numFmtId="0" fontId="183" fillId="0" borderId="2" xfId="2219" applyFont="1" applyFill="1" applyBorder="1" applyAlignment="1">
      <alignment horizontal="center" vertical="top" wrapText="1"/>
    </xf>
    <xf numFmtId="49" fontId="183" fillId="0" borderId="76" xfId="54" applyNumberFormat="1" applyFont="1" applyFill="1" applyBorder="1" applyAlignment="1" applyProtection="1">
      <alignment horizontal="left" vertical="center"/>
      <protection locked="0"/>
    </xf>
    <xf numFmtId="49" fontId="183" fillId="0" borderId="41" xfId="54" applyNumberFormat="1" applyFont="1" applyFill="1" applyBorder="1" applyAlignment="1" applyProtection="1">
      <alignment horizontal="center" vertical="center"/>
      <protection locked="0"/>
    </xf>
    <xf numFmtId="0" fontId="23" fillId="0" borderId="42" xfId="2219" applyFont="1" applyFill="1" applyBorder="1" applyAlignment="1">
      <alignment horizontal="center" vertical="center"/>
    </xf>
    <xf numFmtId="168" fontId="23" fillId="0" borderId="41" xfId="2219" applyNumberFormat="1" applyFont="1" applyFill="1" applyBorder="1" applyAlignment="1">
      <alignment horizontal="center" vertical="center"/>
    </xf>
    <xf numFmtId="2" fontId="23" fillId="0" borderId="41" xfId="2219" applyNumberFormat="1" applyFont="1" applyFill="1" applyBorder="1" applyAlignment="1">
      <alignment horizontal="center" vertical="center"/>
    </xf>
    <xf numFmtId="201" fontId="172" fillId="26" borderId="41" xfId="2219" applyNumberFormat="1" applyFont="1" applyFill="1" applyBorder="1" applyAlignment="1">
      <alignment horizontal="center" vertical="center" wrapText="1"/>
    </xf>
    <xf numFmtId="168" fontId="172" fillId="0" borderId="43" xfId="2219" applyNumberFormat="1" applyFont="1" applyFill="1" applyBorder="1" applyAlignment="1">
      <alignment horizontal="center" vertical="center"/>
    </xf>
    <xf numFmtId="168" fontId="23" fillId="0" borderId="48" xfId="2066" applyNumberFormat="1" applyFont="1" applyFill="1" applyBorder="1" applyAlignment="1">
      <alignment horizontal="center" vertical="center"/>
    </xf>
    <xf numFmtId="2" fontId="23" fillId="0" borderId="43" xfId="2066" applyNumberFormat="1" applyFont="1" applyFill="1" applyBorder="1" applyAlignment="1">
      <alignment horizontal="center" vertical="center"/>
    </xf>
    <xf numFmtId="0" fontId="23" fillId="0" borderId="105" xfId="2219" applyFont="1" applyFill="1" applyBorder="1" applyAlignment="1">
      <alignment horizontal="center" vertical="center" wrapText="1"/>
    </xf>
    <xf numFmtId="0" fontId="23" fillId="0" borderId="106" xfId="2067" applyFont="1" applyFill="1" applyBorder="1" applyAlignment="1">
      <alignment horizontal="left" vertical="center"/>
    </xf>
    <xf numFmtId="49" fontId="172" fillId="0" borderId="107" xfId="0" applyNumberFormat="1" applyFont="1" applyFill="1" applyBorder="1" applyAlignment="1">
      <alignment vertical="center" wrapText="1"/>
    </xf>
    <xf numFmtId="49" fontId="172" fillId="0" borderId="106" xfId="0" applyNumberFormat="1" applyFont="1" applyFill="1" applyBorder="1" applyAlignment="1">
      <alignment horizontal="center" vertical="center" wrapText="1"/>
    </xf>
    <xf numFmtId="0" fontId="172" fillId="0" borderId="108" xfId="0" applyFont="1" applyFill="1" applyBorder="1" applyAlignment="1">
      <alignment horizontal="center" vertical="center"/>
    </xf>
    <xf numFmtId="168" fontId="23" fillId="0" borderId="106" xfId="1958" applyNumberFormat="1" applyFont="1" applyFill="1" applyBorder="1" applyAlignment="1">
      <alignment horizontal="center" vertical="center"/>
    </xf>
    <xf numFmtId="2" fontId="23" fillId="0" borderId="106" xfId="2219" applyNumberFormat="1" applyFont="1" applyFill="1" applyBorder="1" applyAlignment="1">
      <alignment horizontal="center" vertical="center"/>
    </xf>
    <xf numFmtId="201" fontId="23" fillId="0" borderId="106" xfId="2219" applyNumberFormat="1" applyFont="1" applyFill="1" applyBorder="1" applyAlignment="1">
      <alignment horizontal="center" vertical="center" wrapText="1"/>
    </xf>
    <xf numFmtId="2" fontId="23" fillId="0" borderId="109" xfId="2219" applyNumberFormat="1" applyFont="1" applyFill="1" applyBorder="1" applyAlignment="1">
      <alignment horizontal="center" vertical="center"/>
    </xf>
    <xf numFmtId="168" fontId="23" fillId="0" borderId="105" xfId="2066" applyNumberFormat="1" applyFont="1" applyFill="1" applyBorder="1" applyAlignment="1">
      <alignment horizontal="center" vertical="center"/>
    </xf>
    <xf numFmtId="2" fontId="23" fillId="0" borderId="109" xfId="2066" applyNumberFormat="1" applyFont="1" applyFill="1" applyBorder="1" applyAlignment="1">
      <alignment horizontal="center" vertical="center"/>
    </xf>
    <xf numFmtId="0" fontId="23" fillId="0" borderId="110" xfId="2219" applyFont="1" applyFill="1" applyBorder="1" applyAlignment="1">
      <alignment horizontal="center" vertical="center" wrapText="1"/>
    </xf>
    <xf numFmtId="49" fontId="172" fillId="0" borderId="111" xfId="0" applyNumberFormat="1" applyFont="1" applyFill="1" applyBorder="1" applyAlignment="1">
      <alignment vertical="center" wrapText="1"/>
    </xf>
    <xf numFmtId="49" fontId="172" fillId="0" borderId="111" xfId="0" applyNumberFormat="1" applyFont="1" applyFill="1" applyBorder="1" applyAlignment="1">
      <alignment horizontal="center" vertical="center" wrapText="1"/>
    </xf>
    <xf numFmtId="0" fontId="172" fillId="0" borderId="111" xfId="0" applyFont="1" applyFill="1" applyBorder="1" applyAlignment="1">
      <alignment horizontal="center" vertical="center"/>
    </xf>
    <xf numFmtId="0" fontId="172" fillId="0" borderId="112" xfId="0" applyFont="1" applyFill="1" applyBorder="1" applyAlignment="1">
      <alignment horizontal="center" vertical="center"/>
    </xf>
    <xf numFmtId="168" fontId="23" fillId="0" borderId="111" xfId="1958" applyNumberFormat="1" applyFont="1" applyFill="1" applyBorder="1" applyAlignment="1">
      <alignment horizontal="center" vertical="center"/>
    </xf>
    <xf numFmtId="2" fontId="23" fillId="0" borderId="111" xfId="2219" applyNumberFormat="1" applyFont="1" applyFill="1" applyBorder="1" applyAlignment="1">
      <alignment horizontal="center" vertical="center"/>
    </xf>
    <xf numFmtId="201" fontId="23" fillId="0" borderId="111" xfId="2219" applyNumberFormat="1" applyFont="1" applyFill="1" applyBorder="1" applyAlignment="1">
      <alignment horizontal="center" vertical="center" wrapText="1"/>
    </xf>
    <xf numFmtId="2" fontId="23" fillId="0" borderId="113" xfId="2219" applyNumberFormat="1" applyFont="1" applyFill="1" applyBorder="1" applyAlignment="1">
      <alignment horizontal="center" vertical="center"/>
    </xf>
    <xf numFmtId="168" fontId="23" fillId="0" borderId="110" xfId="2066" applyNumberFormat="1" applyFont="1" applyFill="1" applyBorder="1" applyAlignment="1" applyProtection="1">
      <alignment horizontal="center" vertical="center"/>
    </xf>
    <xf numFmtId="2" fontId="23" fillId="0" borderId="113" xfId="2066" applyNumberFormat="1" applyFont="1" applyFill="1" applyBorder="1" applyAlignment="1">
      <alignment horizontal="center" vertical="center"/>
    </xf>
    <xf numFmtId="0" fontId="172" fillId="0" borderId="0" xfId="0" applyFont="1" applyFill="1" applyBorder="1"/>
    <xf numFmtId="168" fontId="23" fillId="0" borderId="111" xfId="1958" applyNumberFormat="1" applyFont="1" applyFill="1" applyBorder="1" applyAlignment="1" applyProtection="1">
      <alignment horizontal="center" vertical="center"/>
    </xf>
    <xf numFmtId="168" fontId="23" fillId="0" borderId="110" xfId="2066" applyNumberFormat="1" applyFont="1" applyFill="1" applyBorder="1" applyAlignment="1">
      <alignment horizontal="center" vertical="center"/>
    </xf>
    <xf numFmtId="0" fontId="23" fillId="0" borderId="111" xfId="0" applyFont="1" applyFill="1" applyBorder="1"/>
    <xf numFmtId="0" fontId="23" fillId="0" borderId="111" xfId="0" applyFont="1" applyFill="1" applyBorder="1" applyAlignment="1">
      <alignment horizontal="center"/>
    </xf>
    <xf numFmtId="168" fontId="23" fillId="0" borderId="114" xfId="2066" applyNumberFormat="1" applyFont="1" applyFill="1" applyBorder="1" applyAlignment="1">
      <alignment horizontal="center" vertical="center"/>
    </xf>
    <xf numFmtId="2" fontId="23" fillId="0" borderId="115" xfId="2066" applyNumberFormat="1" applyFont="1" applyFill="1" applyBorder="1" applyAlignment="1">
      <alignment horizontal="center" vertical="center"/>
    </xf>
    <xf numFmtId="0" fontId="23" fillId="0" borderId="116" xfId="2219" applyFont="1" applyFill="1" applyBorder="1" applyAlignment="1">
      <alignment horizontal="center" vertical="center" wrapText="1"/>
    </xf>
    <xf numFmtId="0" fontId="23" fillId="0" borderId="117" xfId="2067" applyFont="1" applyFill="1" applyBorder="1" applyAlignment="1">
      <alignment horizontal="left" vertical="center"/>
    </xf>
    <xf numFmtId="49" fontId="172" fillId="0" borderId="117" xfId="0" applyNumberFormat="1" applyFont="1" applyFill="1" applyBorder="1" applyAlignment="1">
      <alignment vertical="center" wrapText="1"/>
    </xf>
    <xf numFmtId="49" fontId="172" fillId="0" borderId="117" xfId="0" applyNumberFormat="1" applyFont="1" applyFill="1" applyBorder="1" applyAlignment="1">
      <alignment horizontal="center" vertical="center" wrapText="1"/>
    </xf>
    <xf numFmtId="0" fontId="172" fillId="0" borderId="117" xfId="0" applyFont="1" applyFill="1" applyBorder="1" applyAlignment="1">
      <alignment horizontal="center" vertical="center"/>
    </xf>
    <xf numFmtId="0" fontId="172" fillId="0" borderId="118" xfId="0" applyFont="1" applyFill="1" applyBorder="1" applyAlignment="1">
      <alignment horizontal="center" vertical="center"/>
    </xf>
    <xf numFmtId="168" fontId="23" fillId="0" borderId="117" xfId="1958" applyNumberFormat="1" applyFont="1" applyFill="1" applyBorder="1" applyAlignment="1">
      <alignment horizontal="center" vertical="center"/>
    </xf>
    <xf numFmtId="2" fontId="23" fillId="0" borderId="117" xfId="2219" applyNumberFormat="1" applyFont="1" applyFill="1" applyBorder="1" applyAlignment="1">
      <alignment horizontal="center" vertical="center"/>
    </xf>
    <xf numFmtId="201" fontId="23" fillId="0" borderId="117" xfId="2219" applyNumberFormat="1" applyFont="1" applyFill="1" applyBorder="1" applyAlignment="1">
      <alignment horizontal="center" vertical="center" wrapText="1"/>
    </xf>
    <xf numFmtId="2" fontId="23" fillId="0" borderId="119" xfId="2219" applyNumberFormat="1" applyFont="1" applyFill="1" applyBorder="1" applyAlignment="1">
      <alignment horizontal="center" vertical="center"/>
    </xf>
    <xf numFmtId="168" fontId="23" fillId="0" borderId="116" xfId="2066" applyNumberFormat="1" applyFont="1" applyFill="1" applyBorder="1" applyAlignment="1">
      <alignment horizontal="center" vertical="center"/>
    </xf>
    <xf numFmtId="2" fontId="23" fillId="0" borderId="119" xfId="2066" applyNumberFormat="1" applyFont="1" applyFill="1" applyBorder="1" applyAlignment="1">
      <alignment horizontal="center" vertical="center"/>
    </xf>
    <xf numFmtId="49" fontId="172" fillId="0" borderId="106" xfId="0" applyNumberFormat="1" applyFont="1" applyFill="1" applyBorder="1" applyAlignment="1">
      <alignment wrapText="1"/>
    </xf>
    <xf numFmtId="49" fontId="172" fillId="0" borderId="106" xfId="0" applyNumberFormat="1" applyFont="1" applyFill="1" applyBorder="1" applyAlignment="1">
      <alignment horizontal="center" wrapText="1"/>
    </xf>
    <xf numFmtId="0" fontId="172" fillId="0" borderId="106" xfId="0" applyFont="1" applyFill="1" applyBorder="1" applyAlignment="1">
      <alignment horizontal="center" vertical="center"/>
    </xf>
    <xf numFmtId="168" fontId="23" fillId="0" borderId="120" xfId="1958" applyNumberFormat="1" applyFont="1" applyFill="1" applyBorder="1" applyAlignment="1">
      <alignment horizontal="center" vertical="center"/>
    </xf>
    <xf numFmtId="49" fontId="172" fillId="0" borderId="111" xfId="0" applyNumberFormat="1" applyFont="1" applyFill="1" applyBorder="1" applyAlignment="1">
      <alignment wrapText="1"/>
    </xf>
    <xf numFmtId="0" fontId="23" fillId="0" borderId="121" xfId="0" applyFont="1" applyFill="1" applyBorder="1"/>
    <xf numFmtId="0" fontId="23" fillId="0" borderId="111" xfId="0" applyFont="1" applyFill="1" applyBorder="1" applyAlignment="1">
      <alignment horizontal="center" vertical="center"/>
    </xf>
    <xf numFmtId="49" fontId="172" fillId="0" borderId="122" xfId="0" applyNumberFormat="1" applyFont="1" applyFill="1" applyBorder="1" applyAlignment="1">
      <alignment vertical="center" wrapText="1"/>
    </xf>
    <xf numFmtId="49" fontId="172" fillId="0" borderId="111" xfId="0" applyNumberFormat="1" applyFont="1" applyFill="1" applyBorder="1" applyAlignment="1">
      <alignment horizontal="center" wrapText="1"/>
    </xf>
    <xf numFmtId="49" fontId="172" fillId="0" borderId="122" xfId="0" applyNumberFormat="1" applyFont="1" applyFill="1" applyBorder="1" applyAlignment="1">
      <alignment wrapText="1"/>
    </xf>
    <xf numFmtId="49" fontId="172" fillId="0" borderId="123" xfId="0" applyNumberFormat="1" applyFont="1" applyFill="1" applyBorder="1" applyAlignment="1">
      <alignment wrapText="1"/>
    </xf>
    <xf numFmtId="49" fontId="172" fillId="0" borderId="18" xfId="0" applyNumberFormat="1" applyFont="1" applyFill="1" applyBorder="1" applyAlignment="1">
      <alignment horizontal="center" wrapText="1"/>
    </xf>
    <xf numFmtId="0" fontId="23" fillId="0" borderId="6" xfId="0" applyFont="1" applyFill="1" applyBorder="1"/>
    <xf numFmtId="0" fontId="23" fillId="0" borderId="106" xfId="0" applyFont="1" applyFill="1" applyBorder="1" applyAlignment="1">
      <alignment horizontal="center"/>
    </xf>
    <xf numFmtId="168" fontId="23" fillId="17" borderId="111" xfId="1958" applyNumberFormat="1" applyFont="1" applyFill="1" applyBorder="1" applyAlignment="1">
      <alignment horizontal="center" vertical="center"/>
    </xf>
    <xf numFmtId="168" fontId="23" fillId="17" borderId="111" xfId="2219" applyNumberFormat="1" applyFont="1" applyFill="1" applyBorder="1" applyAlignment="1">
      <alignment horizontal="center" vertical="center"/>
    </xf>
    <xf numFmtId="168" fontId="23" fillId="0" borderId="110" xfId="2066" applyNumberFormat="1" applyFont="1" applyFill="1" applyBorder="1" applyAlignment="1" applyProtection="1">
      <alignment horizontal="center"/>
    </xf>
    <xf numFmtId="49" fontId="172" fillId="0" borderId="117" xfId="0" applyNumberFormat="1" applyFont="1" applyFill="1" applyBorder="1" applyAlignment="1">
      <alignment horizontal="center" wrapText="1"/>
    </xf>
    <xf numFmtId="168" fontId="23" fillId="0" borderId="116" xfId="2066" applyNumberFormat="1" applyFont="1" applyFill="1" applyBorder="1" applyAlignment="1" applyProtection="1">
      <alignment horizontal="center"/>
    </xf>
    <xf numFmtId="168" fontId="23" fillId="0" borderId="106" xfId="2219" applyNumberFormat="1" applyFont="1" applyFill="1" applyBorder="1" applyAlignment="1">
      <alignment horizontal="center" vertical="center"/>
    </xf>
    <xf numFmtId="168" fontId="23" fillId="0" borderId="105" xfId="2066" applyNumberFormat="1" applyFont="1" applyFill="1" applyBorder="1" applyAlignment="1" applyProtection="1">
      <alignment horizontal="center"/>
    </xf>
    <xf numFmtId="168" fontId="23" fillId="0" borderId="111" xfId="2219" applyNumberFormat="1" applyFont="1" applyFill="1" applyBorder="1" applyAlignment="1">
      <alignment horizontal="center" vertical="center"/>
    </xf>
    <xf numFmtId="168" fontId="23" fillId="2" borderId="111" xfId="1958" applyNumberFormat="1" applyFont="1" applyFill="1" applyBorder="1" applyAlignment="1">
      <alignment horizontal="center" vertical="center"/>
    </xf>
    <xf numFmtId="49" fontId="172" fillId="0" borderId="124" xfId="0" applyNumberFormat="1" applyFont="1" applyFill="1" applyBorder="1" applyAlignment="1">
      <alignment vertical="center" wrapText="1"/>
    </xf>
    <xf numFmtId="0" fontId="23" fillId="0" borderId="124" xfId="0" applyFont="1" applyFill="1" applyBorder="1" applyAlignment="1">
      <alignment horizontal="center"/>
    </xf>
    <xf numFmtId="0" fontId="172" fillId="0" borderId="124" xfId="0" applyFont="1" applyFill="1" applyBorder="1" applyAlignment="1">
      <alignment horizontal="center" vertical="center"/>
    </xf>
    <xf numFmtId="0" fontId="172" fillId="0" borderId="125" xfId="0" applyFont="1" applyFill="1" applyBorder="1" applyAlignment="1">
      <alignment horizontal="center" vertical="center"/>
    </xf>
    <xf numFmtId="168" fontId="23" fillId="0" borderId="124" xfId="1958" applyNumberFormat="1" applyFont="1" applyFill="1" applyBorder="1" applyAlignment="1" applyProtection="1">
      <alignment horizontal="center" vertical="center"/>
    </xf>
    <xf numFmtId="2" fontId="23" fillId="0" borderId="124" xfId="2219" applyNumberFormat="1" applyFont="1" applyFill="1" applyBorder="1" applyAlignment="1">
      <alignment horizontal="center" vertical="center"/>
    </xf>
    <xf numFmtId="201" fontId="23" fillId="0" borderId="124" xfId="2219" applyNumberFormat="1" applyFont="1" applyFill="1" applyBorder="1" applyAlignment="1">
      <alignment horizontal="center" vertical="center" wrapText="1"/>
    </xf>
    <xf numFmtId="2" fontId="23" fillId="0" borderId="115" xfId="2219" applyNumberFormat="1" applyFont="1" applyFill="1" applyBorder="1" applyAlignment="1">
      <alignment horizontal="center" vertical="center"/>
    </xf>
    <xf numFmtId="168" fontId="23" fillId="0" borderId="111" xfId="2219" applyNumberFormat="1" applyFont="1" applyFill="1" applyBorder="1" applyAlignment="1" applyProtection="1">
      <alignment horizontal="center"/>
    </xf>
    <xf numFmtId="168" fontId="23" fillId="0" borderId="106" xfId="2219" applyNumberFormat="1" applyFont="1" applyFill="1" applyBorder="1" applyAlignment="1" applyProtection="1">
      <alignment horizontal="center"/>
    </xf>
    <xf numFmtId="49" fontId="29" fillId="0" borderId="122" xfId="1958" applyNumberFormat="1" applyFont="1" applyFill="1" applyBorder="1" applyAlignment="1">
      <alignment wrapText="1"/>
    </xf>
    <xf numFmtId="49" fontId="29" fillId="0" borderId="111" xfId="1958" applyNumberFormat="1" applyFont="1" applyFill="1" applyBorder="1" applyAlignment="1">
      <alignment vertical="center" wrapText="1"/>
    </xf>
    <xf numFmtId="168" fontId="23" fillId="2" borderId="111" xfId="1958" applyNumberFormat="1" applyFont="1" applyFill="1" applyBorder="1" applyAlignment="1" applyProtection="1">
      <alignment horizontal="center" vertical="center"/>
    </xf>
    <xf numFmtId="49" fontId="23" fillId="0" borderId="111" xfId="1958" applyNumberFormat="1" applyFont="1" applyFill="1" applyBorder="1" applyAlignment="1" applyProtection="1">
      <alignment horizontal="left" wrapText="1"/>
    </xf>
    <xf numFmtId="168" fontId="23" fillId="2" borderId="111" xfId="1958" applyNumberFormat="1" applyFont="1" applyFill="1" applyBorder="1" applyAlignment="1" applyProtection="1">
      <alignment horizontal="center"/>
    </xf>
    <xf numFmtId="168" fontId="23" fillId="0" borderId="105" xfId="2066" applyNumberFormat="1" applyFont="1" applyFill="1" applyBorder="1" applyAlignment="1" applyProtection="1">
      <alignment horizontal="center" vertical="center"/>
    </xf>
    <xf numFmtId="49" fontId="29" fillId="0" borderId="111" xfId="0" applyNumberFormat="1" applyFont="1" applyFill="1" applyBorder="1" applyAlignment="1">
      <alignment vertical="center" wrapText="1"/>
    </xf>
    <xf numFmtId="0" fontId="14" fillId="19" borderId="41" xfId="2219" applyFont="1" applyFill="1" applyBorder="1" applyAlignment="1">
      <alignment horizontal="center" vertical="top" wrapText="1"/>
    </xf>
    <xf numFmtId="49" fontId="14" fillId="19" borderId="41" xfId="0" applyNumberFormat="1" applyFont="1" applyFill="1" applyBorder="1" applyAlignment="1">
      <alignment vertical="center"/>
    </xf>
    <xf numFmtId="0" fontId="14" fillId="19" borderId="41" xfId="0" applyFont="1" applyFill="1" applyBorder="1" applyAlignment="1">
      <alignment horizontal="center"/>
    </xf>
    <xf numFmtId="0" fontId="14" fillId="19" borderId="41" xfId="0" applyFont="1" applyFill="1" applyBorder="1" applyAlignment="1">
      <alignment horizontal="center" vertical="center"/>
    </xf>
    <xf numFmtId="0" fontId="14" fillId="19" borderId="42" xfId="0" applyFont="1" applyFill="1" applyBorder="1" applyAlignment="1">
      <alignment horizontal="center" vertical="center"/>
    </xf>
    <xf numFmtId="168" fontId="14" fillId="19" borderId="41" xfId="2219" applyNumberFormat="1" applyFont="1" applyFill="1" applyBorder="1" applyAlignment="1">
      <alignment horizontal="center" vertical="center"/>
    </xf>
    <xf numFmtId="2" fontId="14" fillId="19" borderId="41" xfId="2219" applyNumberFormat="1" applyFont="1" applyFill="1" applyBorder="1" applyAlignment="1">
      <alignment horizontal="center" vertical="center"/>
    </xf>
    <xf numFmtId="201" fontId="14" fillId="19" borderId="41" xfId="2219" applyNumberFormat="1" applyFont="1" applyFill="1" applyBorder="1" applyAlignment="1">
      <alignment horizontal="center" vertical="center" wrapText="1"/>
    </xf>
    <xf numFmtId="2" fontId="14" fillId="19" borderId="43" xfId="2219" applyNumberFormat="1" applyFont="1" applyFill="1" applyBorder="1" applyAlignment="1">
      <alignment horizontal="center" vertical="center"/>
    </xf>
    <xf numFmtId="168" fontId="23" fillId="19" borderId="48" xfId="2066" applyNumberFormat="1" applyFont="1" applyFill="1" applyBorder="1" applyAlignment="1" applyProtection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4" fillId="22" borderId="48" xfId="2068" applyFont="1" applyFill="1" applyBorder="1" applyAlignment="1">
      <alignment horizontal="center" vertical="center" wrapText="1"/>
    </xf>
    <xf numFmtId="0" fontId="14" fillId="22" borderId="41" xfId="2068" applyFont="1" applyFill="1" applyBorder="1" applyAlignment="1">
      <alignment horizontal="left" vertical="center"/>
    </xf>
    <xf numFmtId="49" fontId="182" fillId="22" borderId="41" xfId="0" applyNumberFormat="1" applyFont="1" applyFill="1" applyBorder="1" applyAlignment="1">
      <alignment vertical="center" wrapText="1"/>
    </xf>
    <xf numFmtId="2" fontId="14" fillId="22" borderId="43" xfId="2068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84" fillId="22" borderId="0" xfId="0" applyFont="1" applyFill="1"/>
    <xf numFmtId="1" fontId="21" fillId="22" borderId="39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3" xfId="1958" applyFont="1" applyFill="1" applyBorder="1" applyAlignment="1">
      <alignment horizontal="center" vertical="center"/>
    </xf>
    <xf numFmtId="0" fontId="14" fillId="0" borderId="40" xfId="1958" applyFont="1" applyFill="1" applyBorder="1" applyAlignment="1">
      <alignment horizontal="center" vertical="center" textRotation="90"/>
    </xf>
    <xf numFmtId="49" fontId="14" fillId="0" borderId="63" xfId="1958" applyNumberFormat="1" applyFont="1" applyFill="1" applyBorder="1" applyAlignment="1">
      <alignment horizontal="center" vertical="center"/>
    </xf>
    <xf numFmtId="49" fontId="14" fillId="0" borderId="24" xfId="1958" applyNumberFormat="1" applyFont="1" applyFill="1" applyBorder="1" applyAlignment="1">
      <alignment horizontal="center" vertical="center"/>
    </xf>
    <xf numFmtId="0" fontId="14" fillId="0" borderId="64" xfId="1958" applyFont="1" applyFill="1" applyBorder="1" applyAlignment="1">
      <alignment horizontal="center" vertical="center"/>
    </xf>
    <xf numFmtId="168" fontId="14" fillId="0" borderId="24" xfId="1958" applyNumberFormat="1" applyFont="1" applyFill="1" applyBorder="1" applyAlignment="1">
      <alignment horizontal="center" vertical="center" wrapText="1"/>
    </xf>
    <xf numFmtId="0" fontId="14" fillId="0" borderId="24" xfId="1958" applyFont="1" applyFill="1" applyBorder="1" applyAlignment="1">
      <alignment horizontal="center" vertical="center" wrapText="1"/>
    </xf>
    <xf numFmtId="0" fontId="32" fillId="0" borderId="24" xfId="1958" applyFont="1" applyFill="1" applyBorder="1" applyAlignment="1">
      <alignment horizontal="center" vertical="center" wrapText="1"/>
    </xf>
    <xf numFmtId="168" fontId="32" fillId="0" borderId="25" xfId="1958" applyNumberFormat="1" applyFont="1" applyFill="1" applyBorder="1" applyAlignment="1">
      <alignment horizontal="center" vertical="center" wrapText="1"/>
    </xf>
    <xf numFmtId="0" fontId="185" fillId="0" borderId="126" xfId="1958" applyFont="1" applyFill="1" applyBorder="1" applyAlignment="1">
      <alignment horizontal="center" vertical="center"/>
    </xf>
    <xf numFmtId="0" fontId="185" fillId="0" borderId="130" xfId="1958" applyFont="1" applyFill="1" applyBorder="1" applyAlignment="1">
      <alignment horizontal="center" vertical="center"/>
    </xf>
    <xf numFmtId="49" fontId="185" fillId="0" borderId="131" xfId="54" applyNumberFormat="1" applyFont="1" applyFill="1" applyBorder="1" applyAlignment="1" applyProtection="1">
      <alignment horizontal="left" vertical="center"/>
      <protection locked="0"/>
    </xf>
    <xf numFmtId="49" fontId="185" fillId="0" borderId="127" xfId="54" applyNumberFormat="1" applyFont="1" applyFill="1" applyBorder="1" applyAlignment="1" applyProtection="1">
      <alignment horizontal="left" vertical="center"/>
      <protection locked="0"/>
    </xf>
    <xf numFmtId="0" fontId="23" fillId="0" borderId="129" xfId="1958" applyFont="1" applyFill="1" applyBorder="1" applyAlignment="1">
      <alignment horizontal="center" vertical="center"/>
    </xf>
    <xf numFmtId="168" fontId="23" fillId="0" borderId="127" xfId="1958" applyNumberFormat="1" applyFont="1" applyFill="1" applyBorder="1" applyAlignment="1">
      <alignment horizontal="center" vertical="center"/>
    </xf>
    <xf numFmtId="2" fontId="23" fillId="0" borderId="127" xfId="1958" applyNumberFormat="1" applyFont="1" applyFill="1" applyBorder="1" applyAlignment="1">
      <alignment horizontal="center" vertical="center"/>
    </xf>
    <xf numFmtId="201" fontId="29" fillId="27" borderId="127" xfId="1958" applyNumberFormat="1" applyFont="1" applyFill="1" applyBorder="1" applyAlignment="1">
      <alignment horizontal="center" vertical="center" wrapText="1"/>
    </xf>
    <xf numFmtId="168" fontId="29" fillId="0" borderId="128" xfId="1958" applyNumberFormat="1" applyFont="1" applyFill="1" applyBorder="1" applyAlignment="1">
      <alignment horizontal="center" vertical="center"/>
    </xf>
    <xf numFmtId="0" fontId="23" fillId="0" borderId="110" xfId="1958" applyFont="1" applyFill="1" applyBorder="1" applyAlignment="1">
      <alignment horizontal="center" vertical="center" wrapText="1"/>
    </xf>
    <xf numFmtId="0" fontId="23" fillId="0" borderId="111" xfId="1958" applyFont="1" applyFill="1" applyBorder="1" applyAlignment="1">
      <alignment horizontal="center" vertical="center"/>
    </xf>
    <xf numFmtId="0" fontId="29" fillId="0" borderId="111" xfId="0" applyFont="1" applyFill="1" applyBorder="1" applyAlignment="1">
      <alignment horizontal="center" vertical="center"/>
    </xf>
    <xf numFmtId="2" fontId="23" fillId="0" borderId="111" xfId="1958" applyNumberFormat="1" applyFont="1" applyFill="1" applyBorder="1" applyAlignment="1">
      <alignment horizontal="center" vertical="center"/>
    </xf>
    <xf numFmtId="201" fontId="23" fillId="0" borderId="111" xfId="1958" applyNumberFormat="1" applyFont="1" applyFill="1" applyBorder="1" applyAlignment="1">
      <alignment horizontal="center" vertical="center" wrapText="1"/>
    </xf>
    <xf numFmtId="2" fontId="23" fillId="0" borderId="113" xfId="1958" applyNumberFormat="1" applyFont="1" applyFill="1" applyBorder="1" applyAlignment="1">
      <alignment horizontal="center" vertical="center"/>
    </xf>
    <xf numFmtId="0" fontId="23" fillId="0" borderId="111" xfId="1958" applyFont="1" applyFill="1" applyBorder="1" applyAlignment="1">
      <alignment horizontal="center" vertical="center" wrapText="1"/>
    </xf>
    <xf numFmtId="49" fontId="29" fillId="0" borderId="122" xfId="0" applyNumberFormat="1" applyFont="1" applyFill="1" applyBorder="1" applyAlignment="1">
      <alignment vertical="center" wrapText="1"/>
    </xf>
    <xf numFmtId="0" fontId="29" fillId="0" borderId="0" xfId="0" applyFont="1" applyFill="1" applyBorder="1"/>
    <xf numFmtId="0" fontId="84" fillId="14" borderId="48" xfId="1958" applyFont="1" applyFill="1" applyBorder="1" applyAlignment="1">
      <alignment horizontal="center" vertical="center" wrapText="1"/>
    </xf>
    <xf numFmtId="0" fontId="84" fillId="14" borderId="41" xfId="1958" applyFont="1" applyFill="1" applyBorder="1" applyAlignment="1">
      <alignment horizontal="center" vertical="center"/>
    </xf>
    <xf numFmtId="49" fontId="84" fillId="14" borderId="41" xfId="0" applyNumberFormat="1" applyFont="1" applyFill="1" applyBorder="1" applyAlignment="1">
      <alignment vertical="center"/>
    </xf>
    <xf numFmtId="0" fontId="84" fillId="14" borderId="41" xfId="0" applyFont="1" applyFill="1" applyBorder="1"/>
    <xf numFmtId="0" fontId="29" fillId="14" borderId="41" xfId="0" applyFont="1" applyFill="1" applyBorder="1" applyAlignment="1">
      <alignment horizontal="center" vertical="center"/>
    </xf>
    <xf numFmtId="168" fontId="84" fillId="14" borderId="41" xfId="1958" applyNumberFormat="1" applyFont="1" applyFill="1" applyBorder="1" applyAlignment="1">
      <alignment horizontal="center" vertical="center"/>
    </xf>
    <xf numFmtId="2" fontId="84" fillId="14" borderId="41" xfId="1958" applyNumberFormat="1" applyFont="1" applyFill="1" applyBorder="1" applyAlignment="1">
      <alignment horizontal="center" vertical="center"/>
    </xf>
    <xf numFmtId="201" fontId="84" fillId="14" borderId="41" xfId="1958" applyNumberFormat="1" applyFont="1" applyFill="1" applyBorder="1" applyAlignment="1">
      <alignment horizontal="center" vertical="center" wrapText="1"/>
    </xf>
    <xf numFmtId="2" fontId="84" fillId="14" borderId="43" xfId="1958" applyNumberFormat="1" applyFont="1" applyFill="1" applyBorder="1" applyAlignment="1">
      <alignment horizontal="center" vertical="center"/>
    </xf>
    <xf numFmtId="0" fontId="84" fillId="11" borderId="48" xfId="1958" applyFont="1" applyFill="1" applyBorder="1" applyAlignment="1">
      <alignment horizontal="center" vertical="center" wrapText="1"/>
    </xf>
    <xf numFmtId="0" fontId="84" fillId="11" borderId="41" xfId="1958" applyFont="1" applyFill="1" applyBorder="1" applyAlignment="1">
      <alignment horizontal="center" vertical="center"/>
    </xf>
    <xf numFmtId="49" fontId="84" fillId="11" borderId="41" xfId="0" applyNumberFormat="1" applyFont="1" applyFill="1" applyBorder="1" applyAlignment="1">
      <alignment vertical="center"/>
    </xf>
    <xf numFmtId="0" fontId="84" fillId="11" borderId="41" xfId="0" applyFont="1" applyFill="1" applyBorder="1"/>
    <xf numFmtId="0" fontId="29" fillId="11" borderId="41" xfId="0" applyFont="1" applyFill="1" applyBorder="1" applyAlignment="1">
      <alignment horizontal="center" vertical="center"/>
    </xf>
    <xf numFmtId="168" fontId="84" fillId="11" borderId="41" xfId="1958" applyNumberFormat="1" applyFont="1" applyFill="1" applyBorder="1" applyAlignment="1">
      <alignment horizontal="center" vertical="center"/>
    </xf>
    <xf numFmtId="2" fontId="84" fillId="11" borderId="41" xfId="1958" applyNumberFormat="1" applyFont="1" applyFill="1" applyBorder="1" applyAlignment="1">
      <alignment horizontal="center" vertical="center"/>
    </xf>
    <xf numFmtId="201" fontId="84" fillId="11" borderId="41" xfId="1958" applyNumberFormat="1" applyFont="1" applyFill="1" applyBorder="1" applyAlignment="1">
      <alignment horizontal="center" vertical="center" wrapText="1"/>
    </xf>
    <xf numFmtId="2" fontId="84" fillId="11" borderId="43" xfId="1958" applyNumberFormat="1" applyFont="1" applyFill="1" applyBorder="1" applyAlignment="1">
      <alignment horizontal="center" vertical="center"/>
    </xf>
    <xf numFmtId="0" fontId="23" fillId="0" borderId="111" xfId="2067" applyFont="1" applyFill="1" applyBorder="1" applyAlignment="1">
      <alignment horizontal="left" vertical="center"/>
    </xf>
    <xf numFmtId="17" fontId="19" fillId="0" borderId="17" xfId="0" applyNumberFormat="1" applyFont="1" applyFill="1" applyBorder="1" applyAlignment="1">
      <alignment vertical="center"/>
    </xf>
    <xf numFmtId="0" fontId="19" fillId="0" borderId="18" xfId="0" applyFont="1" applyBorder="1"/>
    <xf numFmtId="0" fontId="101" fillId="0" borderId="18" xfId="0" applyFont="1" applyBorder="1" applyAlignment="1">
      <alignment horizontal="center"/>
    </xf>
    <xf numFmtId="4" fontId="22" fillId="0" borderId="19" xfId="0" applyNumberFormat="1" applyFont="1" applyFill="1" applyBorder="1" applyAlignment="1">
      <alignment horizontal="center"/>
    </xf>
    <xf numFmtId="0" fontId="19" fillId="0" borderId="11" xfId="0" applyFont="1" applyFill="1" applyBorder="1" applyAlignment="1">
      <alignment vertical="center"/>
    </xf>
    <xf numFmtId="0" fontId="101" fillId="0" borderId="14" xfId="0" applyFont="1" applyBorder="1"/>
    <xf numFmtId="4" fontId="102" fillId="0" borderId="21" xfId="0" applyNumberFormat="1" applyFont="1" applyFill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4" fillId="0" borderId="54" xfId="1922" applyNumberFormat="1" applyFont="1" applyFill="1" applyBorder="1" applyAlignment="1">
      <alignment horizontal="center" vertical="center" wrapText="1"/>
    </xf>
    <xf numFmtId="4" fontId="37" fillId="0" borderId="57" xfId="1922" applyNumberFormat="1" applyFont="1" applyFill="1" applyBorder="1" applyAlignment="1">
      <alignment horizontal="center" vertical="center"/>
    </xf>
    <xf numFmtId="3" fontId="29" fillId="0" borderId="1" xfId="1916" applyNumberFormat="1" applyFont="1" applyFill="1" applyBorder="1" applyAlignment="1" applyProtection="1">
      <alignment horizontal="center" vertical="justify" wrapText="1"/>
      <protection locked="0"/>
    </xf>
    <xf numFmtId="0" fontId="0" fillId="0" borderId="0" xfId="0"/>
    <xf numFmtId="177" fontId="76" fillId="10" borderId="1" xfId="7739" applyNumberFormat="1" applyFont="1" applyFill="1" applyBorder="1" applyAlignment="1" applyProtection="1">
      <alignment horizontal="center" vertical="center" textRotation="90" wrapText="1"/>
    </xf>
    <xf numFmtId="1" fontId="76" fillId="10" borderId="1" xfId="7739" applyNumberFormat="1" applyFont="1" applyFill="1" applyBorder="1" applyAlignment="1" applyProtection="1">
      <alignment horizontal="center" vertical="center" textRotation="90" wrapText="1"/>
    </xf>
    <xf numFmtId="177" fontId="76" fillId="10" borderId="10" xfId="7739" applyNumberFormat="1" applyFont="1" applyFill="1" applyBorder="1" applyAlignment="1" applyProtection="1">
      <alignment horizontal="center" vertical="center" textRotation="90" wrapText="1"/>
    </xf>
    <xf numFmtId="49" fontId="105" fillId="0" borderId="9" xfId="7739" applyNumberFormat="1" applyFont="1" applyFill="1" applyBorder="1" applyAlignment="1" applyProtection="1">
      <alignment horizontal="center" vertical="center" wrapText="1"/>
    </xf>
    <xf numFmtId="0" fontId="76" fillId="0" borderId="1" xfId="7739" applyFont="1" applyBorder="1" applyAlignment="1" applyProtection="1">
      <alignment vertical="center"/>
    </xf>
    <xf numFmtId="49" fontId="105" fillId="15" borderId="26" xfId="7739" applyNumberFormat="1" applyFont="1" applyFill="1" applyBorder="1" applyAlignment="1" applyProtection="1">
      <alignment horizontal="center" vertical="center" wrapText="1"/>
    </xf>
    <xf numFmtId="0" fontId="82" fillId="15" borderId="1" xfId="0" applyFont="1" applyFill="1" applyBorder="1" applyAlignment="1">
      <alignment vertical="center" wrapText="1"/>
    </xf>
    <xf numFmtId="0" fontId="0" fillId="15" borderId="1" xfId="0" applyFill="1" applyBorder="1"/>
    <xf numFmtId="0" fontId="76" fillId="15" borderId="1" xfId="7739" applyFont="1" applyFill="1" applyBorder="1" applyAlignment="1" applyProtection="1">
      <alignment vertical="center"/>
    </xf>
    <xf numFmtId="1" fontId="142" fillId="15" borderId="1" xfId="1940" applyNumberFormat="1" applyFont="1" applyFill="1" applyBorder="1" applyAlignment="1" applyProtection="1">
      <alignment horizontal="center" vertical="center"/>
    </xf>
    <xf numFmtId="3" fontId="105" fillId="15" borderId="1" xfId="7740" applyNumberFormat="1" applyFont="1" applyFill="1" applyBorder="1" applyAlignment="1" applyProtection="1">
      <alignment horizontal="center" vertical="center"/>
    </xf>
    <xf numFmtId="0" fontId="0" fillId="15" borderId="0" xfId="0" applyFill="1"/>
    <xf numFmtId="0" fontId="10" fillId="15" borderId="0" xfId="0" applyFont="1" applyFill="1" applyAlignment="1">
      <alignment vertical="center"/>
    </xf>
    <xf numFmtId="1" fontId="76" fillId="15" borderId="1" xfId="7740" applyNumberFormat="1" applyFont="1" applyFill="1" applyBorder="1" applyProtection="1"/>
    <xf numFmtId="49" fontId="61" fillId="2" borderId="1" xfId="7739" applyNumberFormat="1" applyFont="1" applyFill="1" applyBorder="1" applyAlignment="1" applyProtection="1">
      <alignment horizontal="center" vertical="center" wrapText="1"/>
    </xf>
    <xf numFmtId="0" fontId="107" fillId="2" borderId="3" xfId="7739" applyFont="1" applyFill="1" applyBorder="1" applyAlignment="1" applyProtection="1">
      <alignment horizontal="left" vertical="center"/>
    </xf>
    <xf numFmtId="0" fontId="61" fillId="2" borderId="1" xfId="7739" applyFont="1" applyFill="1" applyBorder="1" applyAlignment="1" applyProtection="1">
      <alignment horizontal="center" vertical="center"/>
    </xf>
    <xf numFmtId="10" fontId="76" fillId="2" borderId="1" xfId="7739" applyNumberFormat="1" applyFont="1" applyFill="1" applyBorder="1" applyAlignment="1" applyProtection="1">
      <alignment horizontal="center" vertical="center"/>
    </xf>
    <xf numFmtId="9" fontId="76" fillId="0" borderId="1" xfId="7739" applyNumberFormat="1" applyFont="1" applyBorder="1" applyAlignment="1" applyProtection="1">
      <alignment horizontal="center" vertical="center"/>
    </xf>
    <xf numFmtId="1" fontId="76" fillId="0" borderId="1" xfId="7739" applyNumberFormat="1" applyFont="1" applyBorder="1" applyAlignment="1" applyProtection="1">
      <alignment horizontal="center" vertical="center"/>
    </xf>
    <xf numFmtId="9" fontId="76" fillId="0" borderId="14" xfId="7739" applyNumberFormat="1" applyFont="1" applyBorder="1" applyAlignment="1" applyProtection="1">
      <alignment horizontal="center" vertical="center"/>
    </xf>
    <xf numFmtId="9" fontId="76" fillId="0" borderId="21" xfId="7739" applyNumberFormat="1" applyFont="1" applyBorder="1" applyAlignment="1" applyProtection="1">
      <alignment horizontal="center" vertical="center"/>
    </xf>
    <xf numFmtId="49" fontId="105" fillId="2" borderId="0" xfId="7740" applyNumberFormat="1" applyFont="1" applyFill="1" applyBorder="1" applyAlignment="1" applyProtection="1">
      <alignment horizontal="center" vertical="center" wrapText="1"/>
    </xf>
    <xf numFmtId="0" fontId="142" fillId="17" borderId="18" xfId="7740" applyFont="1" applyFill="1" applyBorder="1" applyAlignment="1" applyProtection="1">
      <alignment horizontal="center" vertical="center"/>
    </xf>
    <xf numFmtId="9" fontId="76" fillId="0" borderId="18" xfId="7740" applyNumberFormat="1" applyFont="1" applyBorder="1" applyAlignment="1" applyProtection="1">
      <alignment horizontal="center" vertical="center"/>
    </xf>
    <xf numFmtId="1" fontId="76" fillId="0" borderId="18" xfId="7740" applyNumberFormat="1" applyFont="1" applyBorder="1" applyAlignment="1" applyProtection="1">
      <alignment horizontal="center" vertical="center"/>
    </xf>
    <xf numFmtId="1" fontId="76" fillId="0" borderId="18" xfId="7740" applyNumberFormat="1" applyFont="1" applyFill="1" applyBorder="1" applyAlignment="1" applyProtection="1">
      <alignment horizontal="center" vertical="center"/>
    </xf>
    <xf numFmtId="0" fontId="105" fillId="2" borderId="18" xfId="7740" applyFont="1" applyFill="1" applyBorder="1" applyAlignment="1" applyProtection="1">
      <alignment horizontal="center" vertical="center"/>
    </xf>
    <xf numFmtId="9" fontId="76" fillId="0" borderId="0" xfId="7739" applyNumberFormat="1" applyFont="1" applyBorder="1" applyAlignment="1" applyProtection="1">
      <alignment horizontal="center" vertical="center"/>
    </xf>
    <xf numFmtId="49" fontId="105" fillId="2" borderId="1" xfId="7740" applyNumberFormat="1" applyFont="1" applyFill="1" applyBorder="1" applyAlignment="1" applyProtection="1">
      <alignment horizontal="center" vertical="center" wrapText="1"/>
    </xf>
    <xf numFmtId="0" fontId="142" fillId="17" borderId="1" xfId="7740" applyFont="1" applyFill="1" applyBorder="1" applyAlignment="1" applyProtection="1">
      <alignment horizontal="center" vertical="center"/>
    </xf>
    <xf numFmtId="9" fontId="76" fillId="0" borderId="1" xfId="7740" applyNumberFormat="1" applyFont="1" applyBorder="1" applyAlignment="1" applyProtection="1">
      <alignment horizontal="center" vertical="center"/>
    </xf>
    <xf numFmtId="1" fontId="76" fillId="0" borderId="1" xfId="7740" applyNumberFormat="1" applyFont="1" applyBorder="1" applyAlignment="1" applyProtection="1">
      <alignment horizontal="center" vertical="center"/>
    </xf>
    <xf numFmtId="1" fontId="76" fillId="0" borderId="1" xfId="7740" applyNumberFormat="1" applyFont="1" applyFill="1" applyBorder="1" applyAlignment="1" applyProtection="1">
      <alignment horizontal="center" vertical="center"/>
    </xf>
    <xf numFmtId="0" fontId="105" fillId="2" borderId="1" xfId="7740" applyFont="1" applyFill="1" applyBorder="1" applyAlignment="1" applyProtection="1">
      <alignment horizontal="center" vertical="center"/>
    </xf>
    <xf numFmtId="49" fontId="110" fillId="0" borderId="40" xfId="7739" applyNumberFormat="1" applyFont="1" applyFill="1" applyBorder="1" applyAlignment="1" applyProtection="1">
      <alignment vertical="center" wrapText="1"/>
    </xf>
    <xf numFmtId="49" fontId="110" fillId="0" borderId="75" xfId="7739" applyNumberFormat="1" applyFont="1" applyFill="1" applyBorder="1" applyAlignment="1" applyProtection="1">
      <alignment vertical="center" wrapText="1"/>
    </xf>
    <xf numFmtId="49" fontId="105" fillId="0" borderId="1" xfId="7739" applyNumberFormat="1" applyFont="1" applyFill="1" applyBorder="1" applyAlignment="1" applyProtection="1">
      <alignment horizontal="center" vertical="center" wrapText="1"/>
    </xf>
    <xf numFmtId="177" fontId="76" fillId="0" borderId="0" xfId="7739" applyNumberFormat="1" applyFont="1" applyFill="1" applyBorder="1" applyAlignment="1" applyProtection="1">
      <alignment horizontal="center" vertical="center" textRotation="90" wrapText="1"/>
    </xf>
    <xf numFmtId="177" fontId="76" fillId="0" borderId="26" xfId="7739" applyNumberFormat="1" applyFont="1" applyFill="1" applyBorder="1" applyAlignment="1" applyProtection="1">
      <alignment horizontal="center" vertical="center" textRotation="90" wrapText="1"/>
    </xf>
    <xf numFmtId="177" fontId="76" fillId="0" borderId="1" xfId="7739" applyNumberFormat="1" applyFont="1" applyFill="1" applyBorder="1" applyAlignment="1" applyProtection="1">
      <alignment horizontal="center" vertical="center" textRotation="90" wrapText="1"/>
    </xf>
    <xf numFmtId="177" fontId="76" fillId="0" borderId="10" xfId="7739" applyNumberFormat="1" applyFont="1" applyFill="1" applyBorder="1" applyAlignment="1" applyProtection="1">
      <alignment horizontal="center" vertical="center" textRotation="90" wrapText="1"/>
    </xf>
    <xf numFmtId="0" fontId="76" fillId="0" borderId="0" xfId="7739" applyFont="1" applyFill="1" applyBorder="1" applyAlignment="1" applyProtection="1">
      <alignment vertical="center"/>
    </xf>
    <xf numFmtId="0" fontId="107" fillId="2" borderId="1" xfId="7739" applyFont="1" applyFill="1" applyBorder="1" applyAlignment="1" applyProtection="1">
      <alignment horizontal="left" vertical="center"/>
    </xf>
    <xf numFmtId="0" fontId="82" fillId="17" borderId="1" xfId="7740" applyFont="1" applyFill="1" applyBorder="1" applyAlignment="1" applyProtection="1">
      <alignment vertical="center" wrapText="1"/>
    </xf>
    <xf numFmtId="10" fontId="76" fillId="0" borderId="0" xfId="7739" applyNumberFormat="1" applyFont="1" applyFill="1" applyBorder="1" applyAlignment="1" applyProtection="1">
      <alignment horizontal="center" vertical="center"/>
    </xf>
    <xf numFmtId="49" fontId="10" fillId="0" borderId="37" xfId="0" applyNumberFormat="1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/>
    </xf>
    <xf numFmtId="167" fontId="23" fillId="0" borderId="0" xfId="0" applyNumberFormat="1" applyFont="1"/>
    <xf numFmtId="3" fontId="103" fillId="0" borderId="1" xfId="0" applyNumberFormat="1" applyFont="1" applyFill="1" applyBorder="1" applyAlignment="1">
      <alignment horizontal="center" vertical="center"/>
    </xf>
    <xf numFmtId="0" fontId="0" fillId="0" borderId="0" xfId="0"/>
    <xf numFmtId="1" fontId="76" fillId="0" borderId="1" xfId="194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vertical="center"/>
    </xf>
    <xf numFmtId="0" fontId="13" fillId="0" borderId="17" xfId="832" applyFont="1" applyFill="1" applyBorder="1" applyAlignment="1">
      <alignment horizontal="center" vertical="center" wrapText="1"/>
    </xf>
    <xf numFmtId="0" fontId="46" fillId="0" borderId="1" xfId="2219" applyFont="1" applyFill="1" applyBorder="1" applyAlignment="1">
      <alignment vertical="center" wrapText="1"/>
    </xf>
    <xf numFmtId="167" fontId="46" fillId="0" borderId="1" xfId="1955" applyFont="1" applyFill="1" applyBorder="1" applyAlignment="1">
      <alignment horizontal="center"/>
    </xf>
    <xf numFmtId="4" fontId="26" fillId="0" borderId="1" xfId="1962" applyNumberFormat="1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left"/>
    </xf>
    <xf numFmtId="0" fontId="23" fillId="0" borderId="1" xfId="0" applyFont="1" applyBorder="1" applyAlignment="1">
      <alignment horizontal="center"/>
    </xf>
    <xf numFmtId="4" fontId="21" fillId="0" borderId="0" xfId="0" applyNumberFormat="1" applyFont="1" applyBorder="1" applyAlignment="1">
      <alignment horizontal="left" vertical="center"/>
    </xf>
    <xf numFmtId="4" fontId="30" fillId="0" borderId="33" xfId="0" applyNumberFormat="1" applyFont="1" applyBorder="1" applyAlignment="1">
      <alignment horizontal="center" vertical="top"/>
    </xf>
    <xf numFmtId="16" fontId="23" fillId="0" borderId="9" xfId="830" applyNumberFormat="1" applyFont="1" applyBorder="1" applyAlignment="1">
      <alignment horizontal="center" vertical="center" wrapText="1"/>
    </xf>
    <xf numFmtId="0" fontId="23" fillId="0" borderId="9" xfId="83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87" fillId="0" borderId="1" xfId="1925" applyFont="1" applyFill="1" applyBorder="1" applyAlignment="1">
      <alignment horizontal="left" vertical="center" wrapText="1"/>
    </xf>
    <xf numFmtId="3" fontId="111" fillId="0" borderId="27" xfId="831" applyNumberFormat="1" applyFont="1" applyFill="1" applyBorder="1" applyAlignment="1">
      <alignment horizontal="center" vertical="center"/>
    </xf>
    <xf numFmtId="0" fontId="9" fillId="0" borderId="1" xfId="831" applyFill="1" applyBorder="1" applyAlignment="1">
      <alignment horizontal="center" vertical="center"/>
    </xf>
    <xf numFmtId="0" fontId="188" fillId="0" borderId="1" xfId="831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167" fontId="23" fillId="0" borderId="26" xfId="1910" applyNumberFormat="1" applyFont="1" applyFill="1" applyBorder="1" applyAlignment="1">
      <alignment horizontal="center"/>
    </xf>
    <xf numFmtId="173" fontId="23" fillId="0" borderId="0" xfId="1910" applyNumberFormat="1" applyFont="1" applyFill="1" applyBorder="1" applyAlignment="1">
      <alignment wrapText="1"/>
    </xf>
    <xf numFmtId="0" fontId="23" fillId="0" borderId="0" xfId="1910" applyFont="1" applyFill="1" applyBorder="1" applyAlignment="1">
      <alignment horizontal="center"/>
    </xf>
    <xf numFmtId="4" fontId="23" fillId="0" borderId="0" xfId="1910" applyNumberFormat="1" applyFont="1" applyFill="1" applyBorder="1" applyAlignment="1">
      <alignment horizontal="center"/>
    </xf>
    <xf numFmtId="0" fontId="54" fillId="0" borderId="0" xfId="1910" applyFont="1" applyFill="1" applyBorder="1"/>
    <xf numFmtId="0" fontId="55" fillId="0" borderId="0" xfId="1910" applyFont="1" applyBorder="1"/>
    <xf numFmtId="0" fontId="30" fillId="0" borderId="0" xfId="0" applyFont="1" applyBorder="1" applyAlignment="1">
      <alignment horizontal="center" vertical="top"/>
    </xf>
    <xf numFmtId="0" fontId="37" fillId="0" borderId="0" xfId="0" applyFont="1" applyAlignment="1">
      <alignment horizontal="right"/>
    </xf>
    <xf numFmtId="0" fontId="29" fillId="9" borderId="12" xfId="1915" applyFont="1" applyFill="1" applyBorder="1" applyAlignment="1" applyProtection="1">
      <alignment horizontal="center" vertical="center" wrapText="1"/>
      <protection locked="0"/>
    </xf>
    <xf numFmtId="0" fontId="29" fillId="9" borderId="1" xfId="1915" applyFont="1" applyFill="1" applyBorder="1" applyAlignment="1" applyProtection="1">
      <alignment horizontal="center" vertical="center" wrapText="1"/>
      <protection locked="0"/>
    </xf>
    <xf numFmtId="3" fontId="29" fillId="9" borderId="12" xfId="1915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1" fillId="0" borderId="0" xfId="0" applyNumberFormat="1" applyFont="1" applyAlignment="1">
      <alignment horizontal="left" vertical="center"/>
    </xf>
    <xf numFmtId="0" fontId="21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59" fillId="0" borderId="0" xfId="0" applyNumberFormat="1" applyFont="1" applyAlignment="1">
      <alignment horizontal="left" vertical="center"/>
    </xf>
    <xf numFmtId="0" fontId="35" fillId="9" borderId="1" xfId="0" applyFont="1" applyFill="1" applyBorder="1" applyAlignment="1">
      <alignment horizontal="center" vertical="center"/>
    </xf>
    <xf numFmtId="4" fontId="24" fillId="9" borderId="1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left" wrapText="1"/>
    </xf>
    <xf numFmtId="0" fontId="30" fillId="0" borderId="0" xfId="0" applyFont="1" applyAlignment="1">
      <alignment horizontal="center" vertical="top"/>
    </xf>
    <xf numFmtId="0" fontId="19" fillId="0" borderId="0" xfId="0" applyNumberFormat="1" applyFont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23" fillId="0" borderId="33" xfId="0" applyFont="1" applyBorder="1" applyAlignment="1">
      <alignment horizontal="center"/>
    </xf>
    <xf numFmtId="0" fontId="12" fillId="0" borderId="0" xfId="0" applyFont="1" applyFill="1" applyBorder="1" applyAlignment="1">
      <alignment wrapText="1"/>
    </xf>
    <xf numFmtId="0" fontId="19" fillId="0" borderId="0" xfId="1956" applyFont="1" applyAlignment="1">
      <alignment horizontal="center"/>
    </xf>
    <xf numFmtId="3" fontId="19" fillId="0" borderId="0" xfId="1956" applyNumberFormat="1" applyFont="1" applyAlignment="1">
      <alignment horizontal="center"/>
    </xf>
    <xf numFmtId="0" fontId="19" fillId="0" borderId="0" xfId="1956" applyFont="1"/>
    <xf numFmtId="0" fontId="69" fillId="0" borderId="0" xfId="1956" applyFont="1" applyAlignment="1">
      <alignment horizontal="center"/>
    </xf>
    <xf numFmtId="4" fontId="69" fillId="0" borderId="0" xfId="1956" applyNumberFormat="1" applyFont="1" applyAlignment="1">
      <alignment horizontal="center"/>
    </xf>
    <xf numFmtId="3" fontId="69" fillId="0" borderId="0" xfId="1956" applyNumberFormat="1" applyFont="1" applyAlignment="1">
      <alignment horizontal="center"/>
    </xf>
    <xf numFmtId="0" fontId="10" fillId="0" borderId="0" xfId="1956" applyFont="1" applyAlignment="1">
      <alignment horizontal="center" vertical="center"/>
    </xf>
    <xf numFmtId="0" fontId="63" fillId="0" borderId="0" xfId="1956" applyFont="1" applyAlignment="1">
      <alignment horizontal="left" vertical="center"/>
    </xf>
    <xf numFmtId="0" fontId="41" fillId="0" borderId="0" xfId="1956" applyFont="1" applyAlignment="1">
      <alignment horizontal="center" vertical="center"/>
    </xf>
    <xf numFmtId="0" fontId="41" fillId="0" borderId="0" xfId="1956" applyFont="1" applyAlignment="1" applyProtection="1">
      <alignment horizontal="center" vertical="center"/>
      <protection locked="0"/>
    </xf>
    <xf numFmtId="3" fontId="41" fillId="0" borderId="0" xfId="1956" applyNumberFormat="1" applyFont="1" applyAlignment="1">
      <alignment horizontal="center" vertical="center" wrapText="1"/>
    </xf>
    <xf numFmtId="3" fontId="41" fillId="0" borderId="0" xfId="1956" applyNumberFormat="1" applyFont="1" applyFill="1" applyBorder="1" applyAlignment="1">
      <alignment horizontal="center" vertical="center" wrapText="1"/>
    </xf>
    <xf numFmtId="3" fontId="41" fillId="0" borderId="0" xfId="1956" applyNumberFormat="1" applyFont="1" applyFill="1" applyAlignment="1">
      <alignment horizontal="center" vertical="center" wrapText="1"/>
    </xf>
    <xf numFmtId="0" fontId="42" fillId="0" borderId="0" xfId="1956" applyFont="1" applyFill="1" applyAlignment="1">
      <alignment horizontal="center" vertical="center" wrapText="1"/>
    </xf>
    <xf numFmtId="0" fontId="41" fillId="0" borderId="0" xfId="1956" applyFont="1" applyFill="1" applyAlignment="1">
      <alignment horizontal="center" vertical="center"/>
    </xf>
    <xf numFmtId="0" fontId="41" fillId="0" borderId="0" xfId="1956" applyFont="1" applyAlignment="1" applyProtection="1">
      <alignment horizontal="center" vertical="center" wrapText="1"/>
      <protection locked="0"/>
    </xf>
    <xf numFmtId="0" fontId="41" fillId="0" borderId="0" xfId="1956" applyFont="1" applyAlignment="1">
      <alignment horizontal="center" vertical="center" wrapText="1"/>
    </xf>
    <xf numFmtId="0" fontId="10" fillId="0" borderId="0" xfId="1956" applyFont="1" applyAlignment="1">
      <alignment horizontal="center"/>
    </xf>
    <xf numFmtId="0" fontId="10" fillId="0" borderId="0" xfId="1956" applyFont="1"/>
    <xf numFmtId="0" fontId="69" fillId="0" borderId="9" xfId="1956" applyFont="1" applyFill="1" applyBorder="1" applyAlignment="1" applyProtection="1">
      <alignment horizontal="center" vertical="center" wrapText="1"/>
      <protection locked="0"/>
    </xf>
    <xf numFmtId="0" fontId="69" fillId="0" borderId="1" xfId="1956" applyFont="1" applyFill="1" applyBorder="1" applyAlignment="1" applyProtection="1">
      <alignment horizontal="center" vertical="justify" wrapText="1"/>
      <protection locked="0"/>
    </xf>
    <xf numFmtId="0" fontId="29" fillId="0" borderId="1" xfId="1956" applyFont="1" applyFill="1" applyBorder="1" applyAlignment="1" applyProtection="1">
      <alignment horizontal="center" vertical="justify" wrapText="1"/>
      <protection locked="0"/>
    </xf>
    <xf numFmtId="49" fontId="29" fillId="0" borderId="1" xfId="1956" applyNumberFormat="1" applyFont="1" applyFill="1" applyBorder="1" applyAlignment="1" applyProtection="1">
      <alignment horizontal="center" vertical="top" wrapText="1"/>
      <protection locked="0"/>
    </xf>
    <xf numFmtId="49" fontId="29" fillId="0" borderId="10" xfId="1956" applyNumberFormat="1" applyFont="1" applyFill="1" applyBorder="1" applyAlignment="1" applyProtection="1">
      <alignment horizontal="center" vertical="top" wrapText="1"/>
      <protection locked="0"/>
    </xf>
    <xf numFmtId="16" fontId="69" fillId="0" borderId="9" xfId="1956" applyNumberFormat="1" applyFont="1" applyFill="1" applyBorder="1" applyAlignment="1" applyProtection="1">
      <alignment horizontal="center" vertical="center" wrapText="1"/>
      <protection locked="0"/>
    </xf>
    <xf numFmtId="171" fontId="69" fillId="0" borderId="1" xfId="1956" applyNumberFormat="1" applyFont="1" applyFill="1" applyBorder="1" applyAlignment="1" applyProtection="1">
      <alignment horizontal="center" vertical="center"/>
    </xf>
    <xf numFmtId="4" fontId="69" fillId="0" borderId="1" xfId="1956" applyNumberFormat="1" applyFont="1" applyFill="1" applyBorder="1" applyAlignment="1" applyProtection="1">
      <alignment horizontal="center" vertical="center"/>
    </xf>
    <xf numFmtId="3" fontId="29" fillId="0" borderId="1" xfId="1956" applyNumberFormat="1" applyFont="1" applyFill="1" applyBorder="1" applyAlignment="1">
      <alignment horizontal="center" vertical="center"/>
    </xf>
    <xf numFmtId="4" fontId="69" fillId="0" borderId="10" xfId="1956" applyNumberFormat="1" applyFont="1" applyFill="1" applyBorder="1" applyAlignment="1" applyProtection="1">
      <alignment horizontal="center" vertical="center"/>
    </xf>
    <xf numFmtId="3" fontId="19" fillId="0" borderId="1" xfId="1956" applyNumberFormat="1" applyFont="1" applyFill="1" applyBorder="1" applyAlignment="1" applyProtection="1">
      <alignment horizontal="center" vertical="center"/>
    </xf>
    <xf numFmtId="0" fontId="69" fillId="0" borderId="1" xfId="1956" applyFont="1" applyFill="1" applyBorder="1" applyAlignment="1">
      <alignment horizontal="left" vertical="center"/>
    </xf>
    <xf numFmtId="0" fontId="69" fillId="0" borderId="9" xfId="1956" applyFont="1" applyFill="1" applyBorder="1" applyAlignment="1" applyProtection="1">
      <alignment horizontal="center" vertical="center"/>
      <protection locked="0"/>
    </xf>
    <xf numFmtId="3" fontId="29" fillId="0" borderId="1" xfId="1956" applyNumberFormat="1" applyFont="1" applyFill="1" applyBorder="1" applyAlignment="1" applyProtection="1">
      <alignment horizontal="center" vertical="center"/>
    </xf>
    <xf numFmtId="0" fontId="69" fillId="0" borderId="27" xfId="1956" applyFont="1" applyFill="1" applyBorder="1" applyAlignment="1">
      <alignment horizontal="left" vertical="center"/>
    </xf>
    <xf numFmtId="0" fontId="69" fillId="0" borderId="9" xfId="1956" applyFont="1" applyFill="1" applyBorder="1" applyAlignment="1" applyProtection="1">
      <alignment horizontal="center" vertical="justify" wrapText="1"/>
      <protection locked="0"/>
    </xf>
    <xf numFmtId="2" fontId="29" fillId="0" borderId="1" xfId="1956" applyNumberFormat="1" applyFont="1" applyFill="1" applyBorder="1" applyAlignment="1" applyProtection="1">
      <alignment horizontal="center" vertical="center"/>
      <protection locked="0"/>
    </xf>
    <xf numFmtId="0" fontId="29" fillId="0" borderId="1" xfId="1956" applyFont="1" applyFill="1" applyBorder="1" applyAlignment="1">
      <alignment horizontal="center" vertical="center"/>
    </xf>
    <xf numFmtId="4" fontId="29" fillId="0" borderId="1" xfId="1956" applyNumberFormat="1" applyFont="1" applyFill="1" applyBorder="1" applyAlignment="1">
      <alignment horizontal="center" vertical="center"/>
    </xf>
    <xf numFmtId="3" fontId="29" fillId="0" borderId="10" xfId="1956" applyNumberFormat="1" applyFont="1" applyFill="1" applyBorder="1" applyAlignment="1" applyProtection="1">
      <alignment horizontal="center" vertical="center"/>
    </xf>
    <xf numFmtId="170" fontId="69" fillId="0" borderId="1" xfId="1956" applyNumberFormat="1" applyFont="1" applyFill="1" applyBorder="1" applyAlignment="1" applyProtection="1">
      <alignment horizontal="center" vertical="center"/>
    </xf>
    <xf numFmtId="170" fontId="29" fillId="0" borderId="1" xfId="1956" applyNumberFormat="1" applyFont="1" applyFill="1" applyBorder="1" applyAlignment="1" applyProtection="1">
      <alignment horizontal="center" vertical="center"/>
    </xf>
    <xf numFmtId="4" fontId="29" fillId="0" borderId="1" xfId="1956" applyNumberFormat="1" applyFont="1" applyFill="1" applyBorder="1" applyAlignment="1" applyProtection="1">
      <alignment horizontal="center" vertical="center"/>
      <protection locked="0"/>
    </xf>
    <xf numFmtId="0" fontId="62" fillId="0" borderId="9" xfId="1956" applyFont="1" applyFill="1" applyBorder="1" applyAlignment="1" applyProtection="1">
      <alignment horizontal="center" vertical="center"/>
      <protection locked="0"/>
    </xf>
    <xf numFmtId="0" fontId="62" fillId="0" borderId="1" xfId="1956" applyFont="1" applyFill="1" applyBorder="1" applyAlignment="1">
      <alignment horizontal="left" vertical="center"/>
    </xf>
    <xf numFmtId="0" fontId="29" fillId="0" borderId="1" xfId="1956" applyFont="1" applyFill="1" applyBorder="1" applyAlignment="1" applyProtection="1">
      <alignment horizontal="center" vertical="center"/>
      <protection locked="0"/>
    </xf>
    <xf numFmtId="0" fontId="29" fillId="0" borderId="1" xfId="1956" applyFont="1" applyFill="1" applyBorder="1" applyAlignment="1" applyProtection="1">
      <alignment horizontal="center" vertical="center"/>
    </xf>
    <xf numFmtId="4" fontId="62" fillId="0" borderId="10" xfId="1956" applyNumberFormat="1" applyFont="1" applyFill="1" applyBorder="1" applyAlignment="1" applyProtection="1">
      <alignment horizontal="center" vertical="center"/>
    </xf>
    <xf numFmtId="0" fontId="69" fillId="0" borderId="1" xfId="1956" applyFont="1" applyFill="1" applyBorder="1" applyAlignment="1">
      <alignment horizontal="left" vertical="center" wrapText="1"/>
    </xf>
    <xf numFmtId="16" fontId="69" fillId="0" borderId="9" xfId="1956" applyNumberFormat="1" applyFont="1" applyFill="1" applyBorder="1" applyAlignment="1" applyProtection="1">
      <alignment horizontal="center" vertical="center"/>
      <protection locked="0"/>
    </xf>
    <xf numFmtId="3" fontId="29" fillId="0" borderId="1" xfId="1956" applyNumberFormat="1" applyFont="1" applyFill="1" applyBorder="1" applyAlignment="1" applyProtection="1">
      <alignment horizontal="center" vertical="justify" wrapText="1"/>
      <protection locked="0"/>
    </xf>
    <xf numFmtId="2" fontId="29" fillId="0" borderId="1" xfId="1956" applyNumberFormat="1" applyFont="1" applyFill="1" applyBorder="1" applyAlignment="1">
      <alignment horizontal="center" vertical="center"/>
    </xf>
    <xf numFmtId="0" fontId="23" fillId="0" borderId="1" xfId="1956" applyFont="1" applyFill="1" applyBorder="1" applyAlignment="1">
      <alignment vertical="center"/>
    </xf>
    <xf numFmtId="0" fontId="69" fillId="0" borderId="9" xfId="1956" applyFont="1" applyBorder="1" applyAlignment="1" applyProtection="1">
      <alignment horizontal="center" vertical="center"/>
      <protection locked="0"/>
    </xf>
    <xf numFmtId="3" fontId="29" fillId="0" borderId="1" xfId="1956" applyNumberFormat="1" applyFont="1" applyBorder="1" applyAlignment="1" applyProtection="1">
      <alignment horizontal="center" vertical="center"/>
    </xf>
    <xf numFmtId="2" fontId="29" fillId="0" borderId="1" xfId="1956" applyNumberFormat="1" applyFont="1" applyBorder="1" applyAlignment="1">
      <alignment horizontal="center" vertical="center"/>
    </xf>
    <xf numFmtId="0" fontId="29" fillId="0" borderId="1" xfId="1956" applyFont="1" applyBorder="1" applyAlignment="1">
      <alignment horizontal="center" vertical="center"/>
    </xf>
    <xf numFmtId="0" fontId="23" fillId="0" borderId="1" xfId="1956" applyFont="1" applyBorder="1" applyAlignment="1">
      <alignment vertical="center"/>
    </xf>
    <xf numFmtId="3" fontId="29" fillId="0" borderId="1" xfId="1956" applyNumberFormat="1" applyFont="1" applyBorder="1" applyAlignment="1">
      <alignment horizontal="center" vertical="center"/>
    </xf>
    <xf numFmtId="0" fontId="62" fillId="0" borderId="9" xfId="1956" applyFont="1" applyBorder="1" applyAlignment="1">
      <alignment horizontal="center" vertical="center"/>
    </xf>
    <xf numFmtId="0" fontId="62" fillId="0" borderId="1" xfId="1956" applyFont="1" applyBorder="1" applyAlignment="1" applyProtection="1">
      <alignment horizontal="left" vertical="center"/>
      <protection locked="0"/>
    </xf>
    <xf numFmtId="0" fontId="62" fillId="0" borderId="1" xfId="1956" applyFont="1" applyFill="1" applyBorder="1" applyAlignment="1" applyProtection="1">
      <alignment horizontal="left" vertical="center"/>
      <protection locked="0"/>
    </xf>
    <xf numFmtId="3" fontId="32" fillId="0" borderId="1" xfId="1956" applyNumberFormat="1" applyFont="1" applyBorder="1" applyAlignment="1">
      <alignment horizontal="center" vertical="center"/>
    </xf>
    <xf numFmtId="0" fontId="32" fillId="0" borderId="1" xfId="1956" applyFont="1" applyBorder="1" applyAlignment="1">
      <alignment horizontal="center" vertical="center"/>
    </xf>
    <xf numFmtId="4" fontId="32" fillId="0" borderId="1" xfId="1956" applyNumberFormat="1" applyFont="1" applyBorder="1" applyAlignment="1" applyProtection="1">
      <alignment horizontal="center" vertical="center"/>
      <protection locked="0"/>
    </xf>
    <xf numFmtId="3" fontId="29" fillId="0" borderId="1" xfId="1956" applyNumberFormat="1" applyFont="1" applyBorder="1" applyAlignment="1" applyProtection="1">
      <alignment horizontal="center" vertical="top"/>
    </xf>
    <xf numFmtId="170" fontId="29" fillId="0" borderId="1" xfId="1956" applyNumberFormat="1" applyFont="1" applyBorder="1" applyAlignment="1" applyProtection="1">
      <alignment horizontal="center" vertical="top"/>
    </xf>
    <xf numFmtId="4" fontId="29" fillId="0" borderId="1" xfId="1956" applyNumberFormat="1" applyFont="1" applyBorder="1" applyAlignment="1">
      <alignment horizontal="center" vertical="top"/>
    </xf>
    <xf numFmtId="4" fontId="29" fillId="0" borderId="1" xfId="1956" applyNumberFormat="1" applyFont="1" applyBorder="1" applyAlignment="1" applyProtection="1">
      <alignment horizontal="center" vertical="top"/>
    </xf>
    <xf numFmtId="0" fontId="29" fillId="0" borderId="1" xfId="1956" applyFont="1" applyBorder="1" applyAlignment="1">
      <alignment horizontal="center" vertical="top"/>
    </xf>
    <xf numFmtId="3" fontId="29" fillId="0" borderId="1" xfId="1956" applyNumberFormat="1" applyFont="1" applyBorder="1" applyAlignment="1">
      <alignment horizontal="center" vertical="top"/>
    </xf>
    <xf numFmtId="4" fontId="29" fillId="0" borderId="10" xfId="1956" applyNumberFormat="1" applyFont="1" applyBorder="1" applyAlignment="1" applyProtection="1">
      <alignment horizontal="center" vertical="top"/>
    </xf>
    <xf numFmtId="171" fontId="29" fillId="0" borderId="1" xfId="1956" applyNumberFormat="1" applyFont="1" applyBorder="1" applyAlignment="1" applyProtection="1">
      <alignment horizontal="center" vertical="top"/>
    </xf>
    <xf numFmtId="4" fontId="29" fillId="0" borderId="10" xfId="1956" applyNumberFormat="1" applyFont="1" applyFill="1" applyBorder="1" applyAlignment="1" applyProtection="1">
      <alignment horizontal="center" vertical="top"/>
    </xf>
    <xf numFmtId="0" fontId="62" fillId="0" borderId="22" xfId="1956" applyFont="1" applyBorder="1" applyAlignment="1">
      <alignment horizontal="center" vertical="center"/>
    </xf>
    <xf numFmtId="3" fontId="32" fillId="0" borderId="16" xfId="1956" applyNumberFormat="1" applyFont="1" applyBorder="1" applyAlignment="1">
      <alignment horizontal="center" vertical="center"/>
    </xf>
    <xf numFmtId="0" fontId="32" fillId="0" borderId="16" xfId="1956" applyFont="1" applyBorder="1" applyAlignment="1">
      <alignment horizontal="center" vertical="center"/>
    </xf>
    <xf numFmtId="4" fontId="32" fillId="0" borderId="16" xfId="1956" applyNumberFormat="1" applyFont="1" applyBorder="1" applyAlignment="1" applyProtection="1">
      <alignment horizontal="center" vertical="center"/>
      <protection locked="0"/>
    </xf>
    <xf numFmtId="0" fontId="32" fillId="0" borderId="11" xfId="1956" applyFont="1" applyBorder="1" applyAlignment="1">
      <alignment horizontal="center" vertical="center"/>
    </xf>
    <xf numFmtId="0" fontId="32" fillId="0" borderId="14" xfId="1956" applyFont="1" applyBorder="1" applyAlignment="1" applyProtection="1">
      <alignment horizontal="left" vertical="center"/>
      <protection locked="0"/>
    </xf>
    <xf numFmtId="3" fontId="32" fillId="0" borderId="14" xfId="1956" applyNumberFormat="1" applyFont="1" applyBorder="1" applyAlignment="1">
      <alignment horizontal="center" vertical="center"/>
    </xf>
    <xf numFmtId="0" fontId="32" fillId="0" borderId="14" xfId="1956" applyFont="1" applyBorder="1" applyAlignment="1">
      <alignment horizontal="center" vertical="center"/>
    </xf>
    <xf numFmtId="4" fontId="32" fillId="0" borderId="14" xfId="1956" applyNumberFormat="1" applyFont="1" applyBorder="1" applyAlignment="1" applyProtection="1">
      <alignment horizontal="center" vertical="center"/>
      <protection locked="0"/>
    </xf>
    <xf numFmtId="4" fontId="62" fillId="0" borderId="21" xfId="1956" applyNumberFormat="1" applyFont="1" applyFill="1" applyBorder="1" applyAlignment="1" applyProtection="1">
      <alignment horizontal="center" vertical="center"/>
    </xf>
    <xf numFmtId="0" fontId="40" fillId="0" borderId="0" xfId="1956" applyFont="1" applyFill="1" applyAlignment="1">
      <alignment horizontal="center"/>
    </xf>
    <xf numFmtId="3" fontId="41" fillId="0" borderId="0" xfId="1956" applyNumberFormat="1" applyFont="1" applyBorder="1" applyAlignment="1">
      <alignment horizontal="center" vertical="center" wrapText="1"/>
    </xf>
    <xf numFmtId="0" fontId="42" fillId="0" borderId="0" xfId="1956" applyFont="1" applyAlignment="1">
      <alignment horizontal="center" vertical="center" wrapText="1"/>
    </xf>
    <xf numFmtId="0" fontId="62" fillId="0" borderId="45" xfId="1956" applyFont="1" applyBorder="1" applyAlignment="1">
      <alignment horizontal="center" vertical="center"/>
    </xf>
    <xf numFmtId="0" fontId="62" fillId="0" borderId="18" xfId="1956" applyFont="1" applyBorder="1" applyAlignment="1" applyProtection="1">
      <alignment horizontal="left" vertical="center"/>
      <protection locked="0"/>
    </xf>
    <xf numFmtId="3" fontId="32" fillId="0" borderId="46" xfId="1956" applyNumberFormat="1" applyFont="1" applyBorder="1" applyAlignment="1">
      <alignment horizontal="center" vertical="center"/>
    </xf>
    <xf numFmtId="0" fontId="32" fillId="0" borderId="46" xfId="1956" applyFont="1" applyBorder="1" applyAlignment="1">
      <alignment horizontal="center" vertical="center"/>
    </xf>
    <xf numFmtId="4" fontId="32" fillId="0" borderId="46" xfId="1956" applyNumberFormat="1" applyFont="1" applyBorder="1" applyAlignment="1" applyProtection="1">
      <alignment horizontal="center" vertical="center"/>
      <protection locked="0"/>
    </xf>
    <xf numFmtId="4" fontId="62" fillId="0" borderId="19" xfId="1956" applyNumberFormat="1" applyFont="1" applyFill="1" applyBorder="1" applyAlignment="1" applyProtection="1">
      <alignment horizontal="center" vertical="center"/>
    </xf>
    <xf numFmtId="0" fontId="32" fillId="0" borderId="0" xfId="1956" applyFont="1" applyBorder="1" applyAlignment="1">
      <alignment horizontal="center" vertical="center"/>
    </xf>
    <xf numFmtId="0" fontId="32" fillId="0" borderId="0" xfId="1956" applyFont="1" applyBorder="1" applyAlignment="1" applyProtection="1">
      <alignment horizontal="left" vertical="center"/>
      <protection locked="0"/>
    </xf>
    <xf numFmtId="3" fontId="32" fillId="0" borderId="0" xfId="1956" applyNumberFormat="1" applyFont="1" applyBorder="1" applyAlignment="1">
      <alignment horizontal="center" vertical="center"/>
    </xf>
    <xf numFmtId="4" fontId="32" fillId="0" borderId="0" xfId="1956" applyNumberFormat="1" applyFont="1" applyBorder="1" applyAlignment="1" applyProtection="1">
      <alignment horizontal="center" vertical="center"/>
      <protection locked="0"/>
    </xf>
    <xf numFmtId="4" fontId="62" fillId="0" borderId="0" xfId="1956" applyNumberFormat="1" applyFont="1" applyFill="1" applyBorder="1" applyAlignment="1" applyProtection="1">
      <alignment horizontal="center" vertical="center"/>
    </xf>
    <xf numFmtId="1" fontId="11" fillId="0" borderId="9" xfId="832" applyNumberFormat="1" applyFont="1" applyFill="1" applyBorder="1" applyAlignment="1">
      <alignment horizontal="center" vertical="center" wrapText="1"/>
    </xf>
    <xf numFmtId="4" fontId="37" fillId="0" borderId="1" xfId="0" applyNumberFormat="1" applyFont="1" applyFill="1" applyBorder="1" applyAlignment="1">
      <alignment horizontal="center" vertical="center" wrapText="1"/>
    </xf>
    <xf numFmtId="4" fontId="72" fillId="0" borderId="0" xfId="830" applyNumberFormat="1" applyFont="1"/>
    <xf numFmtId="0" fontId="30" fillId="0" borderId="0" xfId="0" applyFont="1" applyBorder="1" applyAlignment="1">
      <alignment horizontal="center" vertical="top"/>
    </xf>
    <xf numFmtId="0" fontId="37" fillId="0" borderId="0" xfId="0" applyFont="1" applyAlignment="1">
      <alignment horizontal="right"/>
    </xf>
    <xf numFmtId="0" fontId="29" fillId="9" borderId="12" xfId="1915" applyFont="1" applyFill="1" applyBorder="1" applyAlignment="1" applyProtection="1">
      <alignment horizontal="center" vertical="center" wrapText="1"/>
      <protection locked="0"/>
    </xf>
    <xf numFmtId="0" fontId="29" fillId="9" borderId="1" xfId="1915" applyFont="1" applyFill="1" applyBorder="1" applyAlignment="1" applyProtection="1">
      <alignment horizontal="center" vertical="center" wrapText="1"/>
      <protection locked="0"/>
    </xf>
    <xf numFmtId="3" fontId="29" fillId="9" borderId="12" xfId="1915" applyNumberFormat="1" applyFont="1" applyFill="1" applyBorder="1" applyAlignment="1" applyProtection="1">
      <alignment horizontal="center" vertical="center" wrapText="1"/>
      <protection locked="0"/>
    </xf>
    <xf numFmtId="0" fontId="30" fillId="0" borderId="33" xfId="0" applyFont="1" applyBorder="1" applyAlignment="1">
      <alignment horizontal="center" vertical="top"/>
    </xf>
    <xf numFmtId="0" fontId="40" fillId="0" borderId="0" xfId="1956" applyFont="1" applyFill="1" applyAlignment="1">
      <alignment horizontal="center"/>
    </xf>
    <xf numFmtId="0" fontId="30" fillId="0" borderId="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1" fillId="0" borderId="0" xfId="0" applyNumberFormat="1" applyFont="1" applyAlignment="1">
      <alignment horizontal="left" vertical="center"/>
    </xf>
    <xf numFmtId="0" fontId="21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59" fillId="0" borderId="0" xfId="0" applyNumberFormat="1" applyFont="1" applyAlignment="1">
      <alignment horizontal="left" vertical="center"/>
    </xf>
    <xf numFmtId="0" fontId="35" fillId="9" borderId="1" xfId="0" applyFont="1" applyFill="1" applyBorder="1" applyAlignment="1">
      <alignment horizontal="center" vertical="center"/>
    </xf>
    <xf numFmtId="4" fontId="24" fillId="9" borderId="1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14" fillId="0" borderId="20" xfId="0" applyFont="1" applyBorder="1" applyAlignment="1">
      <alignment horizontal="left" wrapText="1"/>
    </xf>
    <xf numFmtId="0" fontId="30" fillId="0" borderId="0" xfId="0" applyFont="1" applyAlignment="1">
      <alignment horizontal="center" vertical="top"/>
    </xf>
    <xf numFmtId="0" fontId="19" fillId="0" borderId="0" xfId="0" applyNumberFormat="1" applyFont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top"/>
    </xf>
    <xf numFmtId="0" fontId="23" fillId="0" borderId="33" xfId="0" applyFont="1" applyBorder="1" applyAlignment="1">
      <alignment horizontal="center"/>
    </xf>
    <xf numFmtId="0" fontId="43" fillId="9" borderId="12" xfId="0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3" fillId="9" borderId="13" xfId="0" applyFont="1" applyFill="1" applyBorder="1" applyAlignment="1">
      <alignment horizontal="center" vertical="center" wrapText="1"/>
    </xf>
    <xf numFmtId="0" fontId="43" fillId="9" borderId="15" xfId="0" applyFont="1" applyFill="1" applyBorder="1" applyAlignment="1">
      <alignment horizontal="center" vertical="center" wrapText="1"/>
    </xf>
    <xf numFmtId="0" fontId="43" fillId="9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23" fillId="17" borderId="1" xfId="830" applyFont="1" applyFill="1" applyBorder="1"/>
    <xf numFmtId="0" fontId="22" fillId="0" borderId="1" xfId="1956" applyFont="1" applyFill="1" applyBorder="1" applyAlignment="1">
      <alignment horizontal="left" vertical="center" wrapText="1"/>
    </xf>
    <xf numFmtId="4" fontId="10" fillId="0" borderId="1" xfId="830" applyNumberFormat="1" applyFont="1" applyFill="1" applyBorder="1" applyAlignment="1">
      <alignment horizontal="center" vertical="center"/>
    </xf>
    <xf numFmtId="172" fontId="14" fillId="0" borderId="10" xfId="0" applyNumberFormat="1" applyFont="1" applyBorder="1"/>
    <xf numFmtId="172" fontId="14" fillId="0" borderId="10" xfId="0" applyNumberFormat="1" applyFont="1" applyFill="1" applyBorder="1"/>
    <xf numFmtId="4" fontId="14" fillId="0" borderId="10" xfId="0" applyNumberFormat="1" applyFont="1" applyBorder="1" applyAlignment="1">
      <alignment vertical="center"/>
    </xf>
    <xf numFmtId="167" fontId="14" fillId="17" borderId="0" xfId="1955" applyFont="1" applyFill="1"/>
    <xf numFmtId="4" fontId="19" fillId="0" borderId="55" xfId="1922" applyNumberFormat="1" applyFont="1" applyBorder="1" applyAlignment="1">
      <alignment horizontal="right" wrapText="1"/>
    </xf>
    <xf numFmtId="4" fontId="23" fillId="0" borderId="55" xfId="1922" applyNumberFormat="1" applyFont="1" applyBorder="1" applyAlignment="1">
      <alignment horizontal="right" vertical="center" wrapText="1"/>
    </xf>
    <xf numFmtId="4" fontId="23" fillId="0" borderId="58" xfId="1922" applyNumberFormat="1" applyFont="1" applyBorder="1" applyAlignment="1">
      <alignment horizontal="right" wrapText="1"/>
    </xf>
    <xf numFmtId="0" fontId="23" fillId="17" borderId="0" xfId="0" applyFont="1" applyFill="1"/>
    <xf numFmtId="0" fontId="13" fillId="16" borderId="62" xfId="0" applyFont="1" applyFill="1" applyBorder="1" applyAlignment="1">
      <alignment horizontal="center" vertical="center" wrapText="1"/>
    </xf>
    <xf numFmtId="2" fontId="13" fillId="16" borderId="0" xfId="0" applyNumberFormat="1" applyFont="1" applyFill="1" applyBorder="1" applyAlignment="1">
      <alignment horizontal="center" vertical="center" wrapText="1"/>
    </xf>
    <xf numFmtId="0" fontId="13" fillId="16" borderId="134" xfId="0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center" vertical="center" wrapText="1"/>
    </xf>
    <xf numFmtId="0" fontId="13" fillId="16" borderId="2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center" vertical="center" wrapText="1"/>
    </xf>
    <xf numFmtId="4" fontId="10" fillId="0" borderId="27" xfId="1961" applyNumberFormat="1" applyFont="1" applyFill="1" applyBorder="1" applyAlignment="1">
      <alignment horizontal="center" vertical="center" wrapText="1"/>
    </xf>
    <xf numFmtId="4" fontId="10" fillId="0" borderId="9" xfId="1961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left" vertical="center" wrapText="1"/>
    </xf>
    <xf numFmtId="0" fontId="10" fillId="0" borderId="29" xfId="1962" applyFont="1" applyFill="1" applyBorder="1" applyAlignment="1">
      <alignment horizontal="left" vertical="center" wrapText="1"/>
    </xf>
    <xf numFmtId="0" fontId="10" fillId="0" borderId="27" xfId="1962" applyFont="1" applyFill="1" applyBorder="1" applyAlignment="1">
      <alignment horizontal="center" vertical="center" wrapText="1"/>
    </xf>
    <xf numFmtId="2" fontId="10" fillId="0" borderId="27" xfId="1962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0" fillId="0" borderId="29" xfId="1962" applyFont="1" applyFill="1" applyBorder="1" applyAlignment="1">
      <alignment horizontal="center" vertical="center"/>
    </xf>
    <xf numFmtId="0" fontId="10" fillId="0" borderId="11" xfId="1962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left" vertical="center" wrapText="1"/>
    </xf>
    <xf numFmtId="4" fontId="11" fillId="0" borderId="21" xfId="0" applyNumberFormat="1" applyFont="1" applyFill="1" applyBorder="1" applyAlignment="1">
      <alignment horizontal="left" vertical="center" wrapText="1"/>
    </xf>
    <xf numFmtId="0" fontId="11" fillId="19" borderId="1" xfId="0" applyFont="1" applyFill="1" applyBorder="1" applyAlignment="1">
      <alignment horizontal="left" vertical="center" wrapText="1"/>
    </xf>
    <xf numFmtId="0" fontId="189" fillId="19" borderId="1" xfId="0" applyFont="1" applyFill="1" applyBorder="1" applyAlignment="1">
      <alignment horizontal="left" vertical="center" wrapText="1"/>
    </xf>
    <xf numFmtId="0" fontId="189" fillId="19" borderId="18" xfId="0" applyFont="1" applyFill="1" applyBorder="1" applyAlignment="1">
      <alignment horizontal="left" vertical="center" wrapText="1"/>
    </xf>
    <xf numFmtId="0" fontId="11" fillId="19" borderId="18" xfId="0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/>
    <xf numFmtId="0" fontId="11" fillId="0" borderId="20" xfId="0" applyFont="1" applyBorder="1"/>
    <xf numFmtId="4" fontId="11" fillId="0" borderId="20" xfId="0" applyNumberFormat="1" applyFont="1" applyBorder="1"/>
    <xf numFmtId="0" fontId="14" fillId="0" borderId="48" xfId="2219" applyFont="1" applyFill="1" applyBorder="1" applyAlignment="1">
      <alignment horizontal="center" vertical="center"/>
    </xf>
    <xf numFmtId="0" fontId="14" fillId="0" borderId="2" xfId="2219" applyFont="1" applyFill="1" applyBorder="1" applyAlignment="1">
      <alignment horizontal="left" vertical="center" textRotation="90"/>
    </xf>
    <xf numFmtId="49" fontId="14" fillId="0" borderId="76" xfId="2219" applyNumberFormat="1" applyFont="1" applyFill="1" applyBorder="1" applyAlignment="1">
      <alignment horizontal="center" vertical="center"/>
    </xf>
    <xf numFmtId="49" fontId="14" fillId="0" borderId="41" xfId="2219" applyNumberFormat="1" applyFont="1" applyFill="1" applyBorder="1" applyAlignment="1">
      <alignment horizontal="center" vertical="center"/>
    </xf>
    <xf numFmtId="0" fontId="14" fillId="0" borderId="42" xfId="2219" applyFont="1" applyFill="1" applyBorder="1" applyAlignment="1">
      <alignment horizontal="center" vertical="center"/>
    </xf>
    <xf numFmtId="168" fontId="14" fillId="0" borderId="41" xfId="2219" applyNumberFormat="1" applyFont="1" applyFill="1" applyBorder="1" applyAlignment="1">
      <alignment horizontal="center" vertical="center" wrapText="1"/>
    </xf>
    <xf numFmtId="0" fontId="14" fillId="0" borderId="41" xfId="2219" applyFont="1" applyFill="1" applyBorder="1" applyAlignment="1">
      <alignment horizontal="center" vertical="center" wrapText="1"/>
    </xf>
    <xf numFmtId="0" fontId="32" fillId="0" borderId="41" xfId="2219" applyFont="1" applyFill="1" applyBorder="1" applyAlignment="1">
      <alignment horizontal="center" vertical="center" wrapText="1"/>
    </xf>
    <xf numFmtId="168" fontId="32" fillId="0" borderId="43" xfId="2219" applyNumberFormat="1" applyFont="1" applyFill="1" applyBorder="1" applyAlignment="1">
      <alignment horizontal="center" vertical="center" wrapText="1"/>
    </xf>
    <xf numFmtId="0" fontId="23" fillId="0" borderId="9" xfId="5970" applyFont="1" applyFill="1" applyBorder="1" applyAlignment="1">
      <alignment horizontal="center" vertical="center" wrapText="1"/>
    </xf>
    <xf numFmtId="0" fontId="23" fillId="0" borderId="1" xfId="5970" applyFont="1" applyFill="1" applyBorder="1" applyAlignment="1">
      <alignment horizontal="left" vertical="center"/>
    </xf>
    <xf numFmtId="49" fontId="29" fillId="0" borderId="1" xfId="0" applyNumberFormat="1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8" fontId="23" fillId="0" borderId="1" xfId="5970" applyNumberFormat="1" applyFont="1" applyFill="1" applyBorder="1" applyAlignment="1">
      <alignment horizontal="center" vertical="center"/>
    </xf>
    <xf numFmtId="2" fontId="23" fillId="0" borderId="1" xfId="5970" applyNumberFormat="1" applyFont="1" applyFill="1" applyBorder="1" applyAlignment="1">
      <alignment horizontal="center" vertical="center"/>
    </xf>
    <xf numFmtId="201" fontId="23" fillId="0" borderId="1" xfId="5970" applyNumberFormat="1" applyFont="1" applyFill="1" applyBorder="1" applyAlignment="1">
      <alignment horizontal="center" vertical="center" wrapText="1"/>
    </xf>
    <xf numFmtId="2" fontId="23" fillId="0" borderId="10" xfId="5970" applyNumberFormat="1" applyFont="1" applyFill="1" applyBorder="1" applyAlignment="1">
      <alignment horizontal="center" vertical="center"/>
    </xf>
    <xf numFmtId="168" fontId="23" fillId="0" borderId="26" xfId="5970" applyNumberFormat="1" applyFont="1" applyFill="1" applyBorder="1" applyAlignment="1">
      <alignment horizontal="center" vertical="center"/>
    </xf>
    <xf numFmtId="0" fontId="23" fillId="0" borderId="11" xfId="5970" applyFont="1" applyFill="1" applyBorder="1" applyAlignment="1">
      <alignment horizontal="center" vertical="center" wrapText="1"/>
    </xf>
    <xf numFmtId="0" fontId="23" fillId="0" borderId="14" xfId="5970" applyFont="1" applyFill="1" applyBorder="1" applyAlignment="1">
      <alignment horizontal="left" vertical="center"/>
    </xf>
    <xf numFmtId="49" fontId="29" fillId="0" borderId="14" xfId="0" applyNumberFormat="1" applyFont="1" applyFill="1" applyBorder="1" applyAlignment="1">
      <alignment vertical="center" wrapText="1"/>
    </xf>
    <xf numFmtId="49" fontId="29" fillId="0" borderId="14" xfId="0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168" fontId="23" fillId="0" borderId="14" xfId="5970" applyNumberFormat="1" applyFont="1" applyFill="1" applyBorder="1" applyAlignment="1">
      <alignment horizontal="center" vertical="center"/>
    </xf>
    <xf numFmtId="2" fontId="23" fillId="0" borderId="14" xfId="5970" applyNumberFormat="1" applyFont="1" applyFill="1" applyBorder="1" applyAlignment="1">
      <alignment horizontal="center" vertical="center"/>
    </xf>
    <xf numFmtId="201" fontId="23" fillId="0" borderId="14" xfId="5970" applyNumberFormat="1" applyFont="1" applyFill="1" applyBorder="1" applyAlignment="1">
      <alignment horizontal="center" vertical="center" wrapText="1"/>
    </xf>
    <xf numFmtId="2" fontId="23" fillId="0" borderId="21" xfId="5970" applyNumberFormat="1" applyFont="1" applyFill="1" applyBorder="1" applyAlignment="1">
      <alignment horizontal="center" vertical="center"/>
    </xf>
    <xf numFmtId="168" fontId="23" fillId="0" borderId="44" xfId="5970" applyNumberFormat="1" applyFont="1" applyFill="1" applyBorder="1" applyAlignment="1">
      <alignment horizontal="center" vertical="center"/>
    </xf>
    <xf numFmtId="0" fontId="23" fillId="0" borderId="17" xfId="5970" applyFont="1" applyFill="1" applyBorder="1" applyAlignment="1">
      <alignment horizontal="center" vertical="center" wrapText="1"/>
    </xf>
    <xf numFmtId="0" fontId="23" fillId="0" borderId="18" xfId="5970" applyFont="1" applyFill="1" applyBorder="1" applyAlignment="1">
      <alignment horizontal="left" vertical="center"/>
    </xf>
    <xf numFmtId="49" fontId="29" fillId="0" borderId="18" xfId="0" applyNumberFormat="1" applyFont="1" applyFill="1" applyBorder="1" applyAlignment="1">
      <alignment vertical="center" wrapText="1"/>
    </xf>
    <xf numFmtId="49" fontId="29" fillId="0" borderId="18" xfId="0" applyNumberFormat="1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/>
    </xf>
    <xf numFmtId="168" fontId="23" fillId="0" borderId="18" xfId="5970" applyNumberFormat="1" applyFont="1" applyFill="1" applyBorder="1" applyAlignment="1">
      <alignment horizontal="center" vertical="center"/>
    </xf>
    <xf numFmtId="2" fontId="23" fillId="0" borderId="18" xfId="5970" applyNumberFormat="1" applyFont="1" applyFill="1" applyBorder="1" applyAlignment="1">
      <alignment horizontal="center" vertical="center"/>
    </xf>
    <xf numFmtId="201" fontId="23" fillId="0" borderId="18" xfId="5970" applyNumberFormat="1" applyFont="1" applyFill="1" applyBorder="1" applyAlignment="1">
      <alignment horizontal="center" vertical="center" wrapText="1"/>
    </xf>
    <xf numFmtId="2" fontId="23" fillId="0" borderId="19" xfId="5970" applyNumberFormat="1" applyFont="1" applyFill="1" applyBorder="1" applyAlignment="1">
      <alignment horizontal="center" vertical="center"/>
    </xf>
    <xf numFmtId="168" fontId="23" fillId="0" borderId="86" xfId="597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vertical="center" wrapText="1"/>
    </xf>
    <xf numFmtId="201" fontId="190" fillId="0" borderId="1" xfId="5970" applyNumberFormat="1" applyFont="1" applyFill="1" applyBorder="1" applyAlignment="1">
      <alignment horizontal="center" vertical="center" wrapText="1"/>
    </xf>
    <xf numFmtId="2" fontId="190" fillId="0" borderId="10" xfId="5970" applyNumberFormat="1" applyFont="1" applyFill="1" applyBorder="1" applyAlignment="1">
      <alignment horizontal="center" vertical="center"/>
    </xf>
    <xf numFmtId="168" fontId="190" fillId="0" borderId="26" xfId="5970" applyNumberFormat="1" applyFont="1" applyFill="1" applyBorder="1" applyAlignment="1">
      <alignment horizontal="center" vertical="center"/>
    </xf>
    <xf numFmtId="2" fontId="190" fillId="0" borderId="1" xfId="5970" applyNumberFormat="1" applyFont="1" applyFill="1" applyBorder="1" applyAlignment="1">
      <alignment horizontal="center" vertical="center"/>
    </xf>
    <xf numFmtId="0" fontId="23" fillId="0" borderId="16" xfId="5970" applyFont="1" applyFill="1" applyBorder="1" applyAlignment="1">
      <alignment horizontal="left" vertical="center"/>
    </xf>
    <xf numFmtId="49" fontId="23" fillId="0" borderId="16" xfId="0" applyNumberFormat="1" applyFont="1" applyFill="1" applyBorder="1" applyAlignment="1">
      <alignment vertical="center" wrapText="1"/>
    </xf>
    <xf numFmtId="168" fontId="23" fillId="0" borderId="16" xfId="5970" applyNumberFormat="1" applyFont="1" applyFill="1" applyBorder="1" applyAlignment="1">
      <alignment horizontal="center" vertical="center"/>
    </xf>
    <xf numFmtId="2" fontId="23" fillId="0" borderId="16" xfId="5970" applyNumberFormat="1" applyFont="1" applyFill="1" applyBorder="1" applyAlignment="1">
      <alignment horizontal="center" vertical="center"/>
    </xf>
    <xf numFmtId="201" fontId="190" fillId="0" borderId="16" xfId="5970" applyNumberFormat="1" applyFont="1" applyFill="1" applyBorder="1" applyAlignment="1">
      <alignment horizontal="center" vertical="center" wrapText="1"/>
    </xf>
    <xf numFmtId="2" fontId="190" fillId="0" borderId="32" xfId="5970" applyNumberFormat="1" applyFont="1" applyFill="1" applyBorder="1" applyAlignment="1">
      <alignment horizontal="center" vertical="center"/>
    </xf>
    <xf numFmtId="168" fontId="190" fillId="0" borderId="28" xfId="5970" applyNumberFormat="1" applyFont="1" applyFill="1" applyBorder="1" applyAlignment="1">
      <alignment horizontal="center" vertical="center"/>
    </xf>
    <xf numFmtId="2" fontId="190" fillId="0" borderId="16" xfId="5970" applyNumberFormat="1" applyFont="1" applyFill="1" applyBorder="1" applyAlignment="1">
      <alignment horizontal="center" vertical="center"/>
    </xf>
    <xf numFmtId="0" fontId="14" fillId="28" borderId="48" xfId="2219" applyFont="1" applyFill="1" applyBorder="1" applyAlignment="1">
      <alignment horizontal="center" vertical="center" wrapText="1"/>
    </xf>
    <xf numFmtId="0" fontId="14" fillId="28" borderId="41" xfId="2219" applyFont="1" applyFill="1" applyBorder="1" applyAlignment="1">
      <alignment horizontal="left" vertical="center"/>
    </xf>
    <xf numFmtId="49" fontId="32" fillId="28" borderId="41" xfId="0" applyNumberFormat="1" applyFont="1" applyFill="1" applyBorder="1" applyAlignment="1">
      <alignment vertical="center" wrapText="1"/>
    </xf>
    <xf numFmtId="2" fontId="14" fillId="28" borderId="43" xfId="2219" applyNumberFormat="1" applyFont="1" applyFill="1" applyBorder="1" applyAlignment="1">
      <alignment horizontal="center" vertical="center"/>
    </xf>
    <xf numFmtId="0" fontId="18" fillId="0" borderId="0" xfId="0" applyFont="1"/>
    <xf numFmtId="0" fontId="191" fillId="28" borderId="0" xfId="0" applyFont="1" applyFill="1"/>
    <xf numFmtId="1" fontId="21" fillId="28" borderId="39" xfId="0" applyNumberFormat="1" applyFont="1" applyFill="1" applyBorder="1" applyAlignment="1">
      <alignment horizontal="center" vertical="center"/>
    </xf>
    <xf numFmtId="0" fontId="172" fillId="0" borderId="0" xfId="0" applyFont="1"/>
    <xf numFmtId="0" fontId="172" fillId="0" borderId="0" xfId="0" applyFont="1" applyFill="1"/>
    <xf numFmtId="0" fontId="182" fillId="0" borderId="39" xfId="0" applyFont="1" applyBorder="1" applyAlignment="1">
      <alignment horizontal="center"/>
    </xf>
    <xf numFmtId="4" fontId="182" fillId="0" borderId="39" xfId="0" applyNumberFormat="1" applyFont="1" applyFill="1" applyBorder="1" applyAlignment="1">
      <alignment horizontal="center"/>
    </xf>
    <xf numFmtId="0" fontId="176" fillId="0" borderId="0" xfId="0" applyFont="1"/>
    <xf numFmtId="0" fontId="176" fillId="0" borderId="0" xfId="0" applyFont="1" applyFill="1"/>
    <xf numFmtId="0" fontId="150" fillId="0" borderId="1" xfId="0" applyFont="1" applyBorder="1" applyAlignment="1">
      <alignment horizontal="center"/>
    </xf>
    <xf numFmtId="0" fontId="150" fillId="0" borderId="1" xfId="0" applyFont="1" applyBorder="1"/>
    <xf numFmtId="0" fontId="150" fillId="0" borderId="0" xfId="0" applyFont="1"/>
    <xf numFmtId="0" fontId="150" fillId="0" borderId="0" xfId="0" applyFont="1" applyFill="1"/>
    <xf numFmtId="0" fontId="176" fillId="0" borderId="1" xfId="0" applyFont="1" applyBorder="1"/>
    <xf numFmtId="0" fontId="176" fillId="0" borderId="1" xfId="0" applyFont="1" applyBorder="1" applyAlignment="1">
      <alignment horizontal="center"/>
    </xf>
    <xf numFmtId="0" fontId="176" fillId="0" borderId="1" xfId="0" applyFont="1" applyFill="1" applyBorder="1" applyAlignment="1">
      <alignment horizontal="center"/>
    </xf>
    <xf numFmtId="4" fontId="176" fillId="17" borderId="1" xfId="0" applyNumberFormat="1" applyFont="1" applyFill="1" applyBorder="1" applyAlignment="1">
      <alignment horizontal="center"/>
    </xf>
    <xf numFmtId="4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68" fontId="19" fillId="17" borderId="1" xfId="0" applyNumberFormat="1" applyFont="1" applyFill="1" applyBorder="1" applyAlignment="1">
      <alignment horizontal="center" vertical="center"/>
    </xf>
    <xf numFmtId="168" fontId="19" fillId="0" borderId="1" xfId="0" applyNumberFormat="1" applyFont="1" applyBorder="1" applyAlignment="1">
      <alignment horizontal="center" vertical="center"/>
    </xf>
    <xf numFmtId="4" fontId="69" fillId="17" borderId="1" xfId="0" applyNumberFormat="1" applyFont="1" applyFill="1" applyBorder="1" applyAlignment="1">
      <alignment horizontal="center" vertical="top"/>
    </xf>
    <xf numFmtId="1" fontId="19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17" borderId="0" xfId="0" applyFont="1" applyFill="1" applyBorder="1" applyAlignment="1">
      <alignment horizontal="center" vertical="center"/>
    </xf>
    <xf numFmtId="168" fontId="19" fillId="17" borderId="0" xfId="0" applyNumberFormat="1" applyFont="1" applyFill="1" applyBorder="1" applyAlignment="1">
      <alignment horizontal="center" vertical="center"/>
    </xf>
    <xf numFmtId="4" fontId="69" fillId="17" borderId="0" xfId="0" applyNumberFormat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62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vertical="center"/>
    </xf>
    <xf numFmtId="4" fontId="172" fillId="0" borderId="0" xfId="0" applyNumberFormat="1" applyFont="1"/>
    <xf numFmtId="0" fontId="62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182" fillId="0" borderId="0" xfId="0" applyFont="1"/>
    <xf numFmtId="0" fontId="182" fillId="0" borderId="20" xfId="0" applyFont="1" applyBorder="1"/>
    <xf numFmtId="4" fontId="182" fillId="0" borderId="20" xfId="0" applyNumberFormat="1" applyFont="1" applyBorder="1"/>
    <xf numFmtId="0" fontId="182" fillId="0" borderId="0" xfId="0" applyFont="1" applyFill="1"/>
    <xf numFmtId="0" fontId="19" fillId="0" borderId="1" xfId="0" applyFont="1" applyFill="1" applyBorder="1" applyAlignment="1">
      <alignment vertical="center" wrapText="1"/>
    </xf>
    <xf numFmtId="0" fontId="23" fillId="17" borderId="15" xfId="5970" applyFont="1" applyFill="1" applyBorder="1" applyAlignment="1">
      <alignment horizontal="center" vertical="center" wrapText="1"/>
    </xf>
    <xf numFmtId="0" fontId="23" fillId="17" borderId="12" xfId="2219" applyFont="1" applyFill="1" applyBorder="1" applyAlignment="1">
      <alignment horizontal="left" vertical="center"/>
    </xf>
    <xf numFmtId="49" fontId="29" fillId="17" borderId="12" xfId="0" applyNumberFormat="1" applyFont="1" applyFill="1" applyBorder="1" applyAlignment="1">
      <alignment vertical="center" wrapText="1"/>
    </xf>
    <xf numFmtId="49" fontId="29" fillId="17" borderId="18" xfId="0" applyNumberFormat="1" applyFont="1" applyFill="1" applyBorder="1" applyAlignment="1">
      <alignment horizontal="center" vertical="center" wrapText="1"/>
    </xf>
    <xf numFmtId="0" fontId="29" fillId="17" borderId="18" xfId="0" applyFont="1" applyFill="1" applyBorder="1" applyAlignment="1">
      <alignment horizontal="center" vertical="center"/>
    </xf>
    <xf numFmtId="168" fontId="23" fillId="17" borderId="12" xfId="2219" applyNumberFormat="1" applyFont="1" applyFill="1" applyBorder="1" applyAlignment="1" applyProtection="1">
      <alignment horizontal="center"/>
    </xf>
    <xf numFmtId="2" fontId="23" fillId="17" borderId="12" xfId="2219" applyNumberFormat="1" applyFont="1" applyFill="1" applyBorder="1" applyAlignment="1">
      <alignment horizontal="center" vertical="center"/>
    </xf>
    <xf numFmtId="201" fontId="23" fillId="17" borderId="12" xfId="2219" applyNumberFormat="1" applyFont="1" applyFill="1" applyBorder="1" applyAlignment="1">
      <alignment horizontal="center" vertical="center" wrapText="1"/>
    </xf>
    <xf numFmtId="2" fontId="23" fillId="17" borderId="13" xfId="2219" applyNumberFormat="1" applyFont="1" applyFill="1" applyBorder="1" applyAlignment="1">
      <alignment horizontal="center" vertical="center"/>
    </xf>
    <xf numFmtId="2" fontId="23" fillId="17" borderId="67" xfId="2219" applyNumberFormat="1" applyFont="1" applyFill="1" applyBorder="1" applyAlignment="1" applyProtection="1">
      <alignment horizontal="center" vertical="center"/>
    </xf>
    <xf numFmtId="0" fontId="23" fillId="17" borderId="9" xfId="5970" applyFont="1" applyFill="1" applyBorder="1" applyAlignment="1">
      <alignment horizontal="center" vertical="center" wrapText="1"/>
    </xf>
    <xf numFmtId="0" fontId="23" fillId="17" borderId="1" xfId="2219" applyFont="1" applyFill="1" applyBorder="1" applyAlignment="1">
      <alignment horizontal="left" vertical="center"/>
    </xf>
    <xf numFmtId="49" fontId="29" fillId="17" borderId="1" xfId="0" applyNumberFormat="1" applyFont="1" applyFill="1" applyBorder="1" applyAlignment="1">
      <alignment vertical="center" wrapText="1"/>
    </xf>
    <xf numFmtId="49" fontId="29" fillId="17" borderId="1" xfId="0" applyNumberFormat="1" applyFont="1" applyFill="1" applyBorder="1" applyAlignment="1">
      <alignment horizontal="center" vertical="center" wrapText="1"/>
    </xf>
    <xf numFmtId="0" fontId="29" fillId="17" borderId="1" xfId="0" applyFont="1" applyFill="1" applyBorder="1" applyAlignment="1">
      <alignment horizontal="center" vertical="center"/>
    </xf>
    <xf numFmtId="168" fontId="23" fillId="17" borderId="1" xfId="2219" applyNumberFormat="1" applyFont="1" applyFill="1" applyBorder="1" applyAlignment="1" applyProtection="1">
      <alignment horizontal="center"/>
    </xf>
    <xf numFmtId="2" fontId="23" fillId="17" borderId="1" xfId="2219" applyNumberFormat="1" applyFont="1" applyFill="1" applyBorder="1" applyAlignment="1">
      <alignment horizontal="center" vertical="center"/>
    </xf>
    <xf numFmtId="201" fontId="23" fillId="17" borderId="1" xfId="2219" applyNumberFormat="1" applyFont="1" applyFill="1" applyBorder="1" applyAlignment="1">
      <alignment horizontal="center" vertical="center" wrapText="1"/>
    </xf>
    <xf numFmtId="2" fontId="23" fillId="17" borderId="10" xfId="2219" applyNumberFormat="1" applyFont="1" applyFill="1" applyBorder="1" applyAlignment="1">
      <alignment horizontal="center" vertical="center"/>
    </xf>
    <xf numFmtId="2" fontId="23" fillId="17" borderId="26" xfId="2219" applyNumberFormat="1" applyFont="1" applyFill="1" applyBorder="1" applyAlignment="1" applyProtection="1">
      <alignment horizontal="center" vertical="center"/>
    </xf>
    <xf numFmtId="0" fontId="23" fillId="17" borderId="11" xfId="5970" applyFont="1" applyFill="1" applyBorder="1" applyAlignment="1">
      <alignment horizontal="center" vertical="center" wrapText="1"/>
    </xf>
    <xf numFmtId="0" fontId="23" fillId="17" borderId="14" xfId="2219" applyFont="1" applyFill="1" applyBorder="1" applyAlignment="1">
      <alignment horizontal="left" vertical="center"/>
    </xf>
    <xf numFmtId="49" fontId="29" fillId="17" borderId="14" xfId="0" applyNumberFormat="1" applyFont="1" applyFill="1" applyBorder="1" applyAlignment="1">
      <alignment vertical="center" wrapText="1"/>
    </xf>
    <xf numFmtId="49" fontId="29" fillId="17" borderId="31" xfId="0" applyNumberFormat="1" applyFont="1" applyFill="1" applyBorder="1" applyAlignment="1">
      <alignment horizontal="center" vertical="center" wrapText="1"/>
    </xf>
    <xf numFmtId="0" fontId="29" fillId="17" borderId="31" xfId="0" applyFont="1" applyFill="1" applyBorder="1" applyAlignment="1">
      <alignment horizontal="center" vertical="center"/>
    </xf>
    <xf numFmtId="168" fontId="23" fillId="17" borderId="14" xfId="2219" applyNumberFormat="1" applyFont="1" applyFill="1" applyBorder="1" applyAlignment="1" applyProtection="1">
      <alignment horizontal="center"/>
    </xf>
    <xf numFmtId="2" fontId="23" fillId="17" borderId="14" xfId="2219" applyNumberFormat="1" applyFont="1" applyFill="1" applyBorder="1" applyAlignment="1">
      <alignment horizontal="center" vertical="center"/>
    </xf>
    <xf numFmtId="201" fontId="23" fillId="17" borderId="14" xfId="2219" applyNumberFormat="1" applyFont="1" applyFill="1" applyBorder="1" applyAlignment="1">
      <alignment horizontal="center" vertical="center" wrapText="1"/>
    </xf>
    <xf numFmtId="2" fontId="23" fillId="17" borderId="21" xfId="2219" applyNumberFormat="1" applyFont="1" applyFill="1" applyBorder="1" applyAlignment="1">
      <alignment horizontal="center" vertical="center"/>
    </xf>
    <xf numFmtId="2" fontId="23" fillId="17" borderId="44" xfId="2219" applyNumberFormat="1" applyFont="1" applyFill="1" applyBorder="1" applyAlignment="1" applyProtection="1">
      <alignment horizontal="center" vertical="center"/>
    </xf>
    <xf numFmtId="0" fontId="23" fillId="17" borderId="17" xfId="5970" applyFont="1" applyFill="1" applyBorder="1" applyAlignment="1">
      <alignment horizontal="center" vertical="center" wrapText="1"/>
    </xf>
    <xf numFmtId="0" fontId="23" fillId="17" borderId="18" xfId="2219" applyFont="1" applyFill="1" applyBorder="1" applyAlignment="1">
      <alignment horizontal="left" vertical="center"/>
    </xf>
    <xf numFmtId="49" fontId="29" fillId="17" borderId="18" xfId="0" applyNumberFormat="1" applyFont="1" applyFill="1" applyBorder="1" applyAlignment="1">
      <alignment vertical="center" wrapText="1"/>
    </xf>
    <xf numFmtId="0" fontId="29" fillId="17" borderId="12" xfId="0" applyFont="1" applyFill="1" applyBorder="1" applyAlignment="1">
      <alignment horizontal="center" vertical="center"/>
    </xf>
    <xf numFmtId="168" fontId="23" fillId="17" borderId="18" xfId="2219" applyNumberFormat="1" applyFont="1" applyFill="1" applyBorder="1" applyAlignment="1" applyProtection="1">
      <alignment horizontal="center"/>
    </xf>
    <xf numFmtId="2" fontId="23" fillId="17" borderId="18" xfId="2219" applyNumberFormat="1" applyFont="1" applyFill="1" applyBorder="1" applyAlignment="1">
      <alignment horizontal="center" vertical="center"/>
    </xf>
    <xf numFmtId="201" fontId="23" fillId="17" borderId="18" xfId="2219" applyNumberFormat="1" applyFont="1" applyFill="1" applyBorder="1" applyAlignment="1">
      <alignment horizontal="center" vertical="center" wrapText="1"/>
    </xf>
    <xf numFmtId="2" fontId="23" fillId="17" borderId="19" xfId="2219" applyNumberFormat="1" applyFont="1" applyFill="1" applyBorder="1" applyAlignment="1">
      <alignment horizontal="center" vertical="center"/>
    </xf>
    <xf numFmtId="2" fontId="23" fillId="17" borderId="86" xfId="2219" applyNumberFormat="1" applyFont="1" applyFill="1" applyBorder="1" applyAlignment="1" applyProtection="1">
      <alignment horizontal="center" vertical="center"/>
    </xf>
    <xf numFmtId="168" fontId="23" fillId="17" borderId="1" xfId="2219" applyNumberFormat="1" applyFont="1" applyFill="1" applyBorder="1" applyAlignment="1" applyProtection="1">
      <alignment horizontal="center" vertical="center"/>
    </xf>
    <xf numFmtId="49" fontId="29" fillId="17" borderId="1" xfId="0" applyNumberFormat="1" applyFont="1" applyFill="1" applyBorder="1" applyAlignment="1">
      <alignment vertical="center"/>
    </xf>
    <xf numFmtId="201" fontId="23" fillId="17" borderId="1" xfId="2219" applyNumberFormat="1" applyFont="1" applyFill="1" applyBorder="1" applyAlignment="1">
      <alignment horizontal="center" vertical="center"/>
    </xf>
    <xf numFmtId="168" fontId="23" fillId="17" borderId="26" xfId="2219" applyNumberFormat="1" applyFont="1" applyFill="1" applyBorder="1" applyAlignment="1" applyProtection="1">
      <alignment horizontal="center" vertical="center"/>
    </xf>
    <xf numFmtId="49" fontId="29" fillId="17" borderId="14" xfId="0" applyNumberFormat="1" applyFont="1" applyFill="1" applyBorder="1" applyAlignment="1">
      <alignment horizontal="center" vertical="center" wrapText="1"/>
    </xf>
    <xf numFmtId="0" fontId="29" fillId="17" borderId="14" xfId="0" applyFont="1" applyFill="1" applyBorder="1" applyAlignment="1">
      <alignment horizontal="center" vertical="center"/>
    </xf>
    <xf numFmtId="168" fontId="23" fillId="17" borderId="44" xfId="2219" applyNumberFormat="1" applyFont="1" applyFill="1" applyBorder="1" applyAlignment="1" applyProtection="1">
      <alignment horizontal="center" vertical="center"/>
    </xf>
    <xf numFmtId="0" fontId="14" fillId="17" borderId="95" xfId="2219" applyFont="1" applyFill="1" applyBorder="1" applyAlignment="1">
      <alignment horizontal="left" vertical="center"/>
    </xf>
    <xf numFmtId="0" fontId="14" fillId="17" borderId="31" xfId="2219" applyFont="1" applyFill="1" applyBorder="1" applyAlignment="1">
      <alignment horizontal="left" vertical="center"/>
    </xf>
    <xf numFmtId="49" fontId="32" fillId="17" borderId="31" xfId="0" applyNumberFormat="1" applyFont="1" applyFill="1" applyBorder="1" applyAlignment="1">
      <alignment vertical="center" wrapText="1"/>
    </xf>
    <xf numFmtId="0" fontId="14" fillId="17" borderId="31" xfId="0" applyFont="1" applyFill="1" applyBorder="1"/>
    <xf numFmtId="201" fontId="14" fillId="17" borderId="31" xfId="2219" applyNumberFormat="1" applyFont="1" applyFill="1" applyBorder="1" applyAlignment="1">
      <alignment horizontal="center" vertical="center" wrapText="1"/>
    </xf>
    <xf numFmtId="2" fontId="14" fillId="17" borderId="135" xfId="2219" applyNumberFormat="1" applyFont="1" applyFill="1" applyBorder="1" applyAlignment="1">
      <alignment horizontal="center" vertical="center"/>
    </xf>
    <xf numFmtId="168" fontId="14" fillId="17" borderId="66" xfId="2219" applyNumberFormat="1" applyFont="1" applyFill="1" applyBorder="1" applyAlignment="1" applyProtection="1">
      <alignment horizontal="center"/>
    </xf>
    <xf numFmtId="3" fontId="10" fillId="0" borderId="31" xfId="1946" applyNumberFormat="1" applyFont="1" applyFill="1" applyBorder="1" applyAlignment="1">
      <alignment horizontal="center" vertical="center" wrapText="1"/>
    </xf>
    <xf numFmtId="4" fontId="10" fillId="17" borderId="1" xfId="830" applyNumberFormat="1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left" vertical="center"/>
    </xf>
    <xf numFmtId="0" fontId="150" fillId="0" borderId="18" xfId="0" applyFont="1" applyBorder="1" applyAlignment="1">
      <alignment horizontal="center"/>
    </xf>
    <xf numFmtId="0" fontId="22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4" fontId="150" fillId="0" borderId="74" xfId="0" applyNumberFormat="1" applyFont="1" applyBorder="1" applyAlignment="1">
      <alignment horizontal="center"/>
    </xf>
    <xf numFmtId="4" fontId="150" fillId="0" borderId="74" xfId="0" applyNumberFormat="1" applyFont="1" applyFill="1" applyBorder="1" applyAlignment="1">
      <alignment horizontal="center"/>
    </xf>
    <xf numFmtId="4" fontId="150" fillId="0" borderId="27" xfId="0" applyNumberFormat="1" applyFont="1" applyFill="1" applyBorder="1" applyAlignment="1">
      <alignment horizontal="center"/>
    </xf>
    <xf numFmtId="0" fontId="150" fillId="0" borderId="5" xfId="0" applyFont="1" applyBorder="1"/>
    <xf numFmtId="4" fontId="150" fillId="0" borderId="5" xfId="0" applyNumberFormat="1" applyFont="1" applyBorder="1"/>
    <xf numFmtId="0" fontId="67" fillId="0" borderId="33" xfId="861" applyFont="1" applyBorder="1" applyAlignment="1">
      <alignment horizontal="center"/>
    </xf>
    <xf numFmtId="0" fontId="22" fillId="0" borderId="0" xfId="861" applyFont="1" applyAlignment="1">
      <alignment horizontal="left" vertical="center" wrapText="1"/>
    </xf>
    <xf numFmtId="0" fontId="11" fillId="0" borderId="1" xfId="831" applyFont="1" applyFill="1" applyBorder="1" applyAlignment="1">
      <alignment horizontal="left" vertical="center" wrapText="1"/>
    </xf>
    <xf numFmtId="0" fontId="10" fillId="0" borderId="1" xfId="832" applyFont="1" applyFill="1" applyBorder="1" applyAlignment="1">
      <alignment horizontal="left" vertical="center" wrapText="1"/>
    </xf>
    <xf numFmtId="0" fontId="14" fillId="0" borderId="27" xfId="832" applyFont="1" applyBorder="1" applyAlignment="1">
      <alignment horizontal="left" vertical="center" wrapText="1"/>
    </xf>
    <xf numFmtId="0" fontId="14" fillId="0" borderId="26" xfId="832" applyFont="1" applyBorder="1" applyAlignment="1">
      <alignment horizontal="left" vertical="center" wrapText="1"/>
    </xf>
    <xf numFmtId="0" fontId="11" fillId="9" borderId="27" xfId="832" applyFont="1" applyFill="1" applyBorder="1" applyAlignment="1">
      <alignment horizontal="center" vertical="center" wrapText="1"/>
    </xf>
    <xf numFmtId="0" fontId="11" fillId="9" borderId="26" xfId="832" applyFont="1" applyFill="1" applyBorder="1" applyAlignment="1">
      <alignment horizontal="center" vertical="center" wrapText="1"/>
    </xf>
    <xf numFmtId="0" fontId="11" fillId="0" borderId="27" xfId="832" applyFont="1" applyFill="1" applyBorder="1" applyAlignment="1">
      <alignment horizontal="left" vertical="center" wrapText="1"/>
    </xf>
    <xf numFmtId="0" fontId="11" fillId="0" borderId="26" xfId="832" applyFont="1" applyFill="1" applyBorder="1" applyAlignment="1">
      <alignment horizontal="left" vertical="center" wrapText="1"/>
    </xf>
    <xf numFmtId="0" fontId="10" fillId="0" borderId="1" xfId="831" applyFont="1" applyBorder="1" applyAlignment="1">
      <alignment horizontal="left" vertical="center" wrapText="1"/>
    </xf>
    <xf numFmtId="0" fontId="11" fillId="0" borderId="14" xfId="831" applyFont="1" applyFill="1" applyBorder="1" applyAlignment="1">
      <alignment horizontal="left" vertical="center" wrapText="1"/>
    </xf>
    <xf numFmtId="4" fontId="70" fillId="0" borderId="62" xfId="830" applyNumberFormat="1" applyFont="1" applyFill="1" applyBorder="1" applyAlignment="1">
      <alignment horizontal="center"/>
    </xf>
    <xf numFmtId="175" fontId="16" fillId="0" borderId="0" xfId="830" applyNumberFormat="1" applyFill="1" applyAlignment="1">
      <alignment horizontal="center"/>
    </xf>
    <xf numFmtId="0" fontId="14" fillId="0" borderId="1" xfId="832" applyFont="1" applyBorder="1" applyAlignment="1">
      <alignment horizontal="left" vertical="center" wrapText="1"/>
    </xf>
    <xf numFmtId="0" fontId="14" fillId="0" borderId="1" xfId="830" applyFont="1" applyBorder="1" applyAlignment="1">
      <alignment horizontal="left" vertical="center" wrapText="1"/>
    </xf>
    <xf numFmtId="0" fontId="14" fillId="0" borderId="1" xfId="832" applyFont="1" applyFill="1" applyBorder="1" applyAlignment="1">
      <alignment horizontal="left" vertical="center" wrapText="1"/>
    </xf>
    <xf numFmtId="0" fontId="10" fillId="0" borderId="1" xfId="832" applyFont="1" applyBorder="1" applyAlignment="1">
      <alignment horizontal="left" vertical="center" wrapText="1"/>
    </xf>
    <xf numFmtId="0" fontId="10" fillId="0" borderId="1" xfId="830" applyFont="1" applyBorder="1" applyAlignment="1">
      <alignment horizontal="left" vertical="center" wrapText="1"/>
    </xf>
    <xf numFmtId="0" fontId="14" fillId="0" borderId="15" xfId="832" applyFont="1" applyBorder="1" applyAlignment="1">
      <alignment horizontal="center" vertical="center" wrapText="1"/>
    </xf>
    <xf numFmtId="0" fontId="14" fillId="0" borderId="11" xfId="832" applyFont="1" applyBorder="1" applyAlignment="1">
      <alignment horizontal="center" vertical="center" wrapText="1"/>
    </xf>
    <xf numFmtId="0" fontId="14" fillId="0" borderId="63" xfId="832" applyFont="1" applyBorder="1" applyAlignment="1">
      <alignment horizontal="center" vertical="center" wrapText="1"/>
    </xf>
    <xf numFmtId="0" fontId="14" fillId="0" borderId="64" xfId="832" applyFont="1" applyBorder="1" applyAlignment="1">
      <alignment horizontal="center" vertical="center" wrapText="1"/>
    </xf>
    <xf numFmtId="0" fontId="14" fillId="0" borderId="65" xfId="832" applyFont="1" applyBorder="1" applyAlignment="1">
      <alignment horizontal="center" vertical="center" wrapText="1"/>
    </xf>
    <xf numFmtId="0" fontId="14" fillId="0" borderId="66" xfId="832" applyFont="1" applyBorder="1" applyAlignment="1">
      <alignment horizontal="center" vertical="center" wrapText="1"/>
    </xf>
    <xf numFmtId="0" fontId="14" fillId="0" borderId="38" xfId="832" applyFont="1" applyFill="1" applyBorder="1" applyAlignment="1">
      <alignment horizontal="center" vertical="center" wrapText="1"/>
    </xf>
    <xf numFmtId="0" fontId="14" fillId="0" borderId="67" xfId="832" applyFont="1" applyFill="1" applyBorder="1" applyAlignment="1">
      <alignment horizontal="center" vertical="center" wrapText="1"/>
    </xf>
    <xf numFmtId="3" fontId="14" fillId="0" borderId="24" xfId="1914" applyNumberFormat="1" applyFont="1" applyFill="1" applyBorder="1" applyAlignment="1">
      <alignment horizontal="center" vertical="center" wrapText="1"/>
    </xf>
    <xf numFmtId="3" fontId="14" fillId="0" borderId="31" xfId="1914" applyNumberFormat="1" applyFont="1" applyFill="1" applyBorder="1" applyAlignment="1">
      <alignment horizontal="center" vertical="center" wrapText="1"/>
    </xf>
    <xf numFmtId="0" fontId="32" fillId="0" borderId="0" xfId="830" applyFont="1" applyAlignment="1">
      <alignment horizontal="right"/>
    </xf>
    <xf numFmtId="0" fontId="61" fillId="0" borderId="0" xfId="830" applyFont="1" applyAlignment="1">
      <alignment horizontal="center" vertical="center" wrapText="1"/>
    </xf>
    <xf numFmtId="0" fontId="62" fillId="0" borderId="0" xfId="830" applyFont="1" applyAlignment="1">
      <alignment horizontal="center" vertical="center" wrapText="1"/>
    </xf>
    <xf numFmtId="0" fontId="62" fillId="0" borderId="0" xfId="830" applyFont="1" applyAlignment="1">
      <alignment horizontal="left" vertical="center" wrapText="1"/>
    </xf>
    <xf numFmtId="0" fontId="32" fillId="0" borderId="13" xfId="830" applyFont="1" applyBorder="1" applyAlignment="1">
      <alignment horizontal="center" vertical="center" wrapText="1"/>
    </xf>
    <xf numFmtId="0" fontId="32" fillId="0" borderId="21" xfId="830" applyFont="1" applyBorder="1" applyAlignment="1">
      <alignment horizontal="center" vertical="center" wrapText="1"/>
    </xf>
    <xf numFmtId="0" fontId="14" fillId="0" borderId="12" xfId="832" applyFont="1" applyFill="1" applyBorder="1" applyAlignment="1">
      <alignment horizontal="center" vertical="center" wrapText="1"/>
    </xf>
    <xf numFmtId="0" fontId="14" fillId="0" borderId="14" xfId="832" applyFont="1" applyFill="1" applyBorder="1" applyAlignment="1">
      <alignment horizontal="center" vertical="center" wrapText="1"/>
    </xf>
    <xf numFmtId="3" fontId="10" fillId="0" borderId="76" xfId="832" applyNumberFormat="1" applyFont="1" applyFill="1" applyBorder="1" applyAlignment="1">
      <alignment horizontal="center" vertical="center" wrapText="1"/>
    </xf>
    <xf numFmtId="3" fontId="10" fillId="0" borderId="42" xfId="832" applyNumberFormat="1" applyFont="1" applyFill="1" applyBorder="1" applyAlignment="1">
      <alignment horizontal="center" vertical="center" wrapText="1"/>
    </xf>
    <xf numFmtId="0" fontId="14" fillId="0" borderId="74" xfId="832" applyFont="1" applyBorder="1" applyAlignment="1">
      <alignment horizontal="left" vertical="center" wrapText="1"/>
    </xf>
    <xf numFmtId="0" fontId="14" fillId="0" borderId="86" xfId="832" applyFont="1" applyBorder="1" applyAlignment="1">
      <alignment horizontal="left" vertical="center" wrapText="1"/>
    </xf>
    <xf numFmtId="0" fontId="10" fillId="0" borderId="27" xfId="832" applyFont="1" applyBorder="1" applyAlignment="1">
      <alignment horizontal="left" vertical="center" wrapText="1"/>
    </xf>
    <xf numFmtId="0" fontId="10" fillId="0" borderId="26" xfId="832" applyFont="1" applyBorder="1" applyAlignment="1">
      <alignment horizontal="left" vertical="center" wrapText="1"/>
    </xf>
    <xf numFmtId="0" fontId="11" fillId="0" borderId="1" xfId="832" applyFont="1" applyBorder="1" applyAlignment="1">
      <alignment horizontal="left" vertical="center" wrapText="1"/>
    </xf>
    <xf numFmtId="0" fontId="23" fillId="0" borderId="1" xfId="1962" applyFont="1" applyBorder="1" applyAlignment="1">
      <alignment horizontal="left" vertical="center" wrapText="1"/>
    </xf>
    <xf numFmtId="0" fontId="23" fillId="0" borderId="27" xfId="1962" applyFont="1" applyBorder="1" applyAlignment="1">
      <alignment horizontal="left" vertical="center" wrapText="1"/>
    </xf>
    <xf numFmtId="0" fontId="23" fillId="0" borderId="26" xfId="1962" applyFont="1" applyBorder="1" applyAlignment="1">
      <alignment horizontal="left" vertical="center" wrapText="1"/>
    </xf>
    <xf numFmtId="2" fontId="13" fillId="16" borderId="15" xfId="0" applyNumberFormat="1" applyFont="1" applyFill="1" applyBorder="1" applyAlignment="1">
      <alignment horizontal="center" vertical="center" wrapText="1"/>
    </xf>
    <xf numFmtId="2" fontId="13" fillId="16" borderId="9" xfId="0" applyNumberFormat="1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3" fillId="16" borderId="24" xfId="0" applyFont="1" applyFill="1" applyBorder="1" applyAlignment="1">
      <alignment horizontal="center" vertical="center" wrapText="1"/>
    </xf>
    <xf numFmtId="0" fontId="13" fillId="16" borderId="46" xfId="0" applyFont="1" applyFill="1" applyBorder="1" applyAlignment="1">
      <alignment horizontal="center" vertical="center" wrapText="1"/>
    </xf>
    <xf numFmtId="0" fontId="13" fillId="16" borderId="18" xfId="0" applyFont="1" applyFill="1" applyBorder="1" applyAlignment="1">
      <alignment horizontal="center" vertical="center" wrapText="1"/>
    </xf>
    <xf numFmtId="0" fontId="13" fillId="16" borderId="63" xfId="0" applyFont="1" applyFill="1" applyBorder="1" applyAlignment="1">
      <alignment horizontal="center" vertical="center" wrapText="1"/>
    </xf>
    <xf numFmtId="0" fontId="13" fillId="16" borderId="5" xfId="0" applyFont="1" applyFill="1" applyBorder="1" applyAlignment="1">
      <alignment horizontal="center" vertical="center" wrapText="1"/>
    </xf>
    <xf numFmtId="0" fontId="13" fillId="16" borderId="74" xfId="0" applyFont="1" applyFill="1" applyBorder="1" applyAlignment="1">
      <alignment horizontal="center" vertical="center" wrapText="1"/>
    </xf>
    <xf numFmtId="0" fontId="13" fillId="16" borderId="76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90" xfId="0" applyFont="1" applyFill="1" applyBorder="1" applyAlignment="1">
      <alignment horizontal="center" vertical="center" wrapText="1"/>
    </xf>
    <xf numFmtId="0" fontId="13" fillId="16" borderId="40" xfId="0" applyFont="1" applyFill="1" applyBorder="1" applyAlignment="1">
      <alignment horizontal="center" vertical="center" wrapText="1"/>
    </xf>
    <xf numFmtId="0" fontId="13" fillId="16" borderId="75" xfId="0" applyFont="1" applyFill="1" applyBorder="1" applyAlignment="1">
      <alignment horizontal="center" vertical="center" wrapText="1"/>
    </xf>
    <xf numFmtId="0" fontId="13" fillId="16" borderId="132" xfId="0" applyFont="1" applyFill="1" applyBorder="1" applyAlignment="1">
      <alignment horizontal="center" vertical="center" wrapText="1"/>
    </xf>
    <xf numFmtId="0" fontId="13" fillId="16" borderId="133" xfId="0" applyFont="1" applyFill="1" applyBorder="1" applyAlignment="1">
      <alignment horizontal="center" vertical="center" wrapText="1"/>
    </xf>
    <xf numFmtId="0" fontId="13" fillId="16" borderId="91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27" xfId="1963" applyFont="1" applyBorder="1" applyAlignment="1">
      <alignment horizontal="center" vertical="center"/>
    </xf>
    <xf numFmtId="0" fontId="19" fillId="0" borderId="3" xfId="1963" applyFont="1" applyBorder="1" applyAlignment="1">
      <alignment horizontal="center" vertical="center"/>
    </xf>
    <xf numFmtId="0" fontId="19" fillId="0" borderId="26" xfId="1963" applyFont="1" applyBorder="1" applyAlignment="1">
      <alignment horizontal="center" vertical="center"/>
    </xf>
    <xf numFmtId="0" fontId="19" fillId="0" borderId="27" xfId="1963" applyFont="1" applyBorder="1" applyAlignment="1">
      <alignment horizontal="center" vertical="center" wrapText="1"/>
    </xf>
    <xf numFmtId="0" fontId="19" fillId="0" borderId="3" xfId="1963" applyFont="1" applyBorder="1" applyAlignment="1">
      <alignment horizontal="center" vertical="center" wrapText="1"/>
    </xf>
    <xf numFmtId="0" fontId="19" fillId="0" borderId="26" xfId="1963" applyFont="1" applyBorder="1" applyAlignment="1">
      <alignment horizontal="center" vertical="center" wrapText="1"/>
    </xf>
    <xf numFmtId="0" fontId="19" fillId="0" borderId="27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199" fontId="19" fillId="0" borderId="27" xfId="1963" applyNumberFormat="1" applyFont="1" applyFill="1" applyBorder="1" applyAlignment="1">
      <alignment horizontal="center" vertical="center"/>
    </xf>
    <xf numFmtId="199" fontId="19" fillId="0" borderId="3" xfId="1963" applyNumberFormat="1" applyFont="1" applyFill="1" applyBorder="1" applyAlignment="1">
      <alignment horizontal="center" vertical="center"/>
    </xf>
    <xf numFmtId="199" fontId="19" fillId="0" borderId="26" xfId="1963" applyNumberFormat="1" applyFont="1" applyFill="1" applyBorder="1" applyAlignment="1">
      <alignment horizontal="center" vertical="center"/>
    </xf>
    <xf numFmtId="49" fontId="19" fillId="0" borderId="27" xfId="1963" applyNumberFormat="1" applyFont="1" applyFill="1" applyBorder="1" applyAlignment="1">
      <alignment horizontal="center" vertical="center"/>
    </xf>
    <xf numFmtId="49" fontId="19" fillId="0" borderId="3" xfId="1963" applyNumberFormat="1" applyFont="1" applyFill="1" applyBorder="1" applyAlignment="1">
      <alignment horizontal="center" vertical="center"/>
    </xf>
    <xf numFmtId="49" fontId="19" fillId="0" borderId="26" xfId="1963" applyNumberFormat="1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26" xfId="0" applyFont="1" applyFill="1" applyBorder="1" applyAlignment="1">
      <alignment horizontal="left" vertical="center"/>
    </xf>
    <xf numFmtId="0" fontId="19" fillId="17" borderId="27" xfId="1963" applyFont="1" applyFill="1" applyBorder="1" applyAlignment="1">
      <alignment horizontal="center" vertical="center"/>
    </xf>
    <xf numFmtId="0" fontId="19" fillId="17" borderId="3" xfId="1963" applyFont="1" applyFill="1" applyBorder="1" applyAlignment="1">
      <alignment horizontal="center" vertical="center"/>
    </xf>
    <xf numFmtId="0" fontId="19" fillId="17" borderId="26" xfId="1963" applyFont="1" applyFill="1" applyBorder="1" applyAlignment="1">
      <alignment horizontal="center" vertical="center"/>
    </xf>
    <xf numFmtId="0" fontId="19" fillId="17" borderId="27" xfId="0" applyFont="1" applyFill="1" applyBorder="1" applyAlignment="1">
      <alignment vertical="center"/>
    </xf>
    <xf numFmtId="0" fontId="19" fillId="17" borderId="3" xfId="0" applyFont="1" applyFill="1" applyBorder="1" applyAlignment="1">
      <alignment vertical="center"/>
    </xf>
    <xf numFmtId="0" fontId="19" fillId="17" borderId="26" xfId="0" applyFont="1" applyFill="1" applyBorder="1" applyAlignment="1">
      <alignment vertical="center"/>
    </xf>
    <xf numFmtId="2" fontId="19" fillId="17" borderId="27" xfId="1963" applyNumberFormat="1" applyFont="1" applyFill="1" applyBorder="1" applyAlignment="1">
      <alignment horizontal="center" vertical="center"/>
    </xf>
    <xf numFmtId="2" fontId="19" fillId="17" borderId="3" xfId="1963" applyNumberFormat="1" applyFont="1" applyFill="1" applyBorder="1" applyAlignment="1">
      <alignment horizontal="center" vertical="center"/>
    </xf>
    <xf numFmtId="2" fontId="19" fillId="17" borderId="26" xfId="1963" applyNumberFormat="1" applyFont="1" applyFill="1" applyBorder="1" applyAlignment="1">
      <alignment horizontal="center" vertical="center"/>
    </xf>
    <xf numFmtId="168" fontId="19" fillId="0" borderId="29" xfId="1963" applyNumberFormat="1" applyFont="1" applyFill="1" applyBorder="1" applyAlignment="1">
      <alignment horizontal="center" vertical="center"/>
    </xf>
    <xf numFmtId="168" fontId="19" fillId="0" borderId="33" xfId="1963" applyNumberFormat="1" applyFont="1" applyFill="1" applyBorder="1" applyAlignment="1">
      <alignment horizontal="center" vertical="center"/>
    </xf>
    <xf numFmtId="168" fontId="19" fillId="0" borderId="28" xfId="1963" applyNumberFormat="1" applyFont="1" applyFill="1" applyBorder="1" applyAlignment="1">
      <alignment horizontal="center" vertical="center"/>
    </xf>
    <xf numFmtId="0" fontId="19" fillId="17" borderId="27" xfId="0" applyFont="1" applyFill="1" applyBorder="1" applyAlignment="1">
      <alignment vertical="center" wrapText="1"/>
    </xf>
    <xf numFmtId="0" fontId="19" fillId="17" borderId="3" xfId="0" applyFont="1" applyFill="1" applyBorder="1" applyAlignment="1">
      <alignment vertical="center" wrapText="1"/>
    </xf>
    <xf numFmtId="0" fontId="19" fillId="17" borderId="26" xfId="0" applyFont="1" applyFill="1" applyBorder="1" applyAlignment="1">
      <alignment vertical="center" wrapText="1"/>
    </xf>
    <xf numFmtId="0" fontId="19" fillId="0" borderId="27" xfId="0" applyFont="1" applyFill="1" applyBorder="1" applyAlignment="1">
      <alignment horizontal="center"/>
    </xf>
    <xf numFmtId="0" fontId="176" fillId="0" borderId="3" xfId="0" applyFont="1" applyFill="1" applyBorder="1" applyAlignment="1">
      <alignment horizontal="center"/>
    </xf>
    <xf numFmtId="0" fontId="176" fillId="0" borderId="26" xfId="0" applyFont="1" applyFill="1" applyBorder="1" applyAlignment="1">
      <alignment horizontal="center"/>
    </xf>
    <xf numFmtId="0" fontId="19" fillId="17" borderId="27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17" borderId="26" xfId="0" applyFont="1" applyFill="1" applyBorder="1" applyAlignment="1">
      <alignment horizontal="left" vertical="center"/>
    </xf>
    <xf numFmtId="168" fontId="19" fillId="17" borderId="29" xfId="1963" applyNumberFormat="1" applyFont="1" applyFill="1" applyBorder="1" applyAlignment="1">
      <alignment horizontal="center" vertical="center"/>
    </xf>
    <xf numFmtId="168" fontId="19" fillId="17" borderId="33" xfId="1963" applyNumberFormat="1" applyFont="1" applyFill="1" applyBorder="1" applyAlignment="1">
      <alignment horizontal="center" vertical="center"/>
    </xf>
    <xf numFmtId="168" fontId="19" fillId="17" borderId="28" xfId="1963" applyNumberFormat="1" applyFont="1" applyFill="1" applyBorder="1" applyAlignment="1">
      <alignment horizontal="center" vertical="center"/>
    </xf>
    <xf numFmtId="199" fontId="19" fillId="17" borderId="27" xfId="1963" applyNumberFormat="1" applyFont="1" applyFill="1" applyBorder="1" applyAlignment="1">
      <alignment horizontal="center" vertical="center"/>
    </xf>
    <xf numFmtId="199" fontId="19" fillId="17" borderId="3" xfId="1963" applyNumberFormat="1" applyFont="1" applyFill="1" applyBorder="1" applyAlignment="1">
      <alignment horizontal="center" vertical="center"/>
    </xf>
    <xf numFmtId="199" fontId="19" fillId="17" borderId="26" xfId="1963" applyNumberFormat="1" applyFont="1" applyFill="1" applyBorder="1" applyAlignment="1">
      <alignment horizontal="center" vertical="center"/>
    </xf>
    <xf numFmtId="168" fontId="14" fillId="0" borderId="2" xfId="2219" applyNumberFormat="1" applyFont="1" applyFill="1" applyBorder="1" applyAlignment="1">
      <alignment horizontal="center" vertical="center" wrapText="1"/>
    </xf>
    <xf numFmtId="168" fontId="14" fillId="0" borderId="49" xfId="2219" applyNumberFormat="1" applyFont="1" applyFill="1" applyBorder="1" applyAlignment="1">
      <alignment horizontal="center" vertical="center" wrapText="1"/>
    </xf>
    <xf numFmtId="3" fontId="22" fillId="0" borderId="18" xfId="0" applyNumberFormat="1" applyFont="1" applyFill="1" applyBorder="1" applyAlignment="1">
      <alignment horizontal="center" vertical="center" wrapText="1"/>
    </xf>
    <xf numFmtId="3" fontId="22" fillId="0" borderId="74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3" fontId="22" fillId="0" borderId="27" xfId="0" applyNumberFormat="1" applyFont="1" applyFill="1" applyBorder="1" applyAlignment="1">
      <alignment horizontal="center" vertical="center" wrapText="1"/>
    </xf>
    <xf numFmtId="3" fontId="22" fillId="0" borderId="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23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46" fillId="0" borderId="33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center"/>
    </xf>
    <xf numFmtId="0" fontId="11" fillId="0" borderId="20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30" fillId="0" borderId="0" xfId="0" applyFont="1" applyBorder="1" applyAlignment="1">
      <alignment horizontal="center" vertical="top"/>
    </xf>
    <xf numFmtId="0" fontId="40" fillId="0" borderId="0" xfId="1916" applyFont="1" applyAlignment="1">
      <alignment horizontal="center"/>
    </xf>
    <xf numFmtId="0" fontId="40" fillId="0" borderId="0" xfId="1916" applyFont="1" applyFill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30" fillId="0" borderId="33" xfId="0" applyFont="1" applyBorder="1" applyAlignment="1">
      <alignment horizontal="center" vertical="top"/>
    </xf>
    <xf numFmtId="3" fontId="41" fillId="0" borderId="68" xfId="1916" applyNumberFormat="1" applyFont="1" applyBorder="1" applyAlignment="1">
      <alignment horizontal="center" vertical="center" wrapText="1"/>
    </xf>
    <xf numFmtId="3" fontId="41" fillId="0" borderId="69" xfId="1916" applyNumberFormat="1" applyFont="1" applyBorder="1" applyAlignment="1">
      <alignment horizontal="center" vertical="center" wrapText="1"/>
    </xf>
    <xf numFmtId="0" fontId="29" fillId="9" borderId="15" xfId="1915" applyFont="1" applyFill="1" applyBorder="1" applyAlignment="1" applyProtection="1">
      <alignment horizontal="center" vertical="center" wrapText="1"/>
      <protection locked="0"/>
    </xf>
    <xf numFmtId="0" fontId="29" fillId="9" borderId="9" xfId="1915" applyFont="1" applyFill="1" applyBorder="1" applyAlignment="1" applyProtection="1">
      <alignment horizontal="center" vertical="center" wrapText="1"/>
      <protection locked="0"/>
    </xf>
    <xf numFmtId="0" fontId="29" fillId="9" borderId="12" xfId="1915" applyFont="1" applyFill="1" applyBorder="1" applyAlignment="1" applyProtection="1">
      <alignment horizontal="center" vertical="center" wrapText="1"/>
      <protection locked="0"/>
    </xf>
    <xf numFmtId="0" fontId="29" fillId="9" borderId="1" xfId="1915" applyFont="1" applyFill="1" applyBorder="1" applyAlignment="1" applyProtection="1">
      <alignment horizontal="center" vertical="center" wrapText="1"/>
      <protection locked="0"/>
    </xf>
    <xf numFmtId="3" fontId="29" fillId="9" borderId="12" xfId="1915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916" applyFont="1" applyAlignment="1">
      <alignment horizontal="center" wrapText="1"/>
    </xf>
    <xf numFmtId="0" fontId="37" fillId="0" borderId="0" xfId="0" applyFont="1" applyFill="1" applyAlignment="1">
      <alignment horizontal="right"/>
    </xf>
    <xf numFmtId="3" fontId="41" fillId="0" borderId="68" xfId="1956" applyNumberFormat="1" applyFont="1" applyBorder="1" applyAlignment="1">
      <alignment horizontal="center" vertical="center" wrapText="1"/>
    </xf>
    <xf numFmtId="3" fontId="41" fillId="0" borderId="69" xfId="1956" applyNumberFormat="1" applyFont="1" applyBorder="1" applyAlignment="1">
      <alignment horizontal="center" vertical="center" wrapText="1"/>
    </xf>
    <xf numFmtId="0" fontId="40" fillId="0" borderId="0" xfId="1956" applyFont="1" applyAlignment="1">
      <alignment horizontal="center"/>
    </xf>
    <xf numFmtId="0" fontId="40" fillId="0" borderId="0" xfId="1956" applyFont="1" applyAlignment="1">
      <alignment horizontal="center" wrapText="1"/>
    </xf>
    <xf numFmtId="0" fontId="40" fillId="0" borderId="0" xfId="1956" applyFont="1" applyFill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3" fillId="0" borderId="27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wrapText="1"/>
    </xf>
    <xf numFmtId="0" fontId="23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46" fillId="0" borderId="33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49" fontId="13" fillId="9" borderId="23" xfId="0" applyNumberFormat="1" applyFont="1" applyFill="1" applyBorder="1" applyAlignment="1">
      <alignment horizontal="center" vertical="center" wrapText="1"/>
    </xf>
    <xf numFmtId="49" fontId="13" fillId="9" borderId="17" xfId="0" applyNumberFormat="1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9" borderId="18" xfId="0" applyFont="1" applyFill="1" applyBorder="1" applyAlignment="1">
      <alignment horizontal="center" vertical="center" wrapText="1"/>
    </xf>
    <xf numFmtId="4" fontId="13" fillId="9" borderId="25" xfId="0" applyNumberFormat="1" applyFont="1" applyFill="1" applyBorder="1" applyAlignment="1">
      <alignment horizontal="center" vertical="center" wrapText="1"/>
    </xf>
    <xf numFmtId="4" fontId="13" fillId="9" borderId="19" xfId="0" applyNumberFormat="1" applyFont="1" applyFill="1" applyBorder="1" applyAlignment="1">
      <alignment horizontal="center" vertical="center" wrapText="1"/>
    </xf>
    <xf numFmtId="0" fontId="13" fillId="9" borderId="38" xfId="0" applyFont="1" applyFill="1" applyBorder="1" applyAlignment="1">
      <alignment horizontal="center" vertical="center" wrapText="1"/>
    </xf>
    <xf numFmtId="0" fontId="13" fillId="9" borderId="6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14" fillId="0" borderId="70" xfId="0" applyNumberFormat="1" applyFont="1" applyBorder="1" applyAlignment="1">
      <alignment horizontal="left" vertical="center" wrapText="1"/>
    </xf>
    <xf numFmtId="0" fontId="14" fillId="0" borderId="71" xfId="0" applyNumberFormat="1" applyFont="1" applyBorder="1" applyAlignment="1">
      <alignment horizontal="left" vertical="center" wrapText="1"/>
    </xf>
    <xf numFmtId="0" fontId="14" fillId="0" borderId="72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3" fillId="9" borderId="25" xfId="0" applyFont="1" applyFill="1" applyBorder="1" applyAlignment="1">
      <alignment horizontal="center" vertical="top" wrapText="1"/>
    </xf>
    <xf numFmtId="0" fontId="13" fillId="9" borderId="19" xfId="0" applyFont="1" applyFill="1" applyBorder="1" applyAlignment="1">
      <alignment horizontal="center" vertical="top" wrapText="1"/>
    </xf>
    <xf numFmtId="49" fontId="13" fillId="9" borderId="23" xfId="0" applyNumberFormat="1" applyFont="1" applyFill="1" applyBorder="1" applyAlignment="1">
      <alignment horizontal="center" vertical="top" wrapText="1"/>
    </xf>
    <xf numFmtId="49" fontId="13" fillId="9" borderId="17" xfId="0" applyNumberFormat="1" applyFont="1" applyFill="1" applyBorder="1" applyAlignment="1">
      <alignment horizontal="center" vertical="top" wrapText="1"/>
    </xf>
    <xf numFmtId="0" fontId="13" fillId="9" borderId="24" xfId="0" applyFont="1" applyFill="1" applyBorder="1" applyAlignment="1">
      <alignment horizontal="center" vertical="top" wrapText="1"/>
    </xf>
    <xf numFmtId="0" fontId="13" fillId="9" borderId="18" xfId="0" applyFont="1" applyFill="1" applyBorder="1" applyAlignment="1">
      <alignment horizontal="center" vertical="top" wrapText="1"/>
    </xf>
    <xf numFmtId="49" fontId="14" fillId="0" borderId="22" xfId="0" applyNumberFormat="1" applyFont="1" applyFill="1" applyBorder="1" applyAlignment="1">
      <alignment horizontal="center"/>
    </xf>
    <xf numFmtId="49" fontId="14" fillId="0" borderId="17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49" fontId="14" fillId="0" borderId="0" xfId="0" applyNumberFormat="1" applyFont="1" applyAlignment="1">
      <alignment horizontal="center"/>
    </xf>
    <xf numFmtId="0" fontId="30" fillId="0" borderId="20" xfId="0" applyFont="1" applyBorder="1" applyAlignment="1">
      <alignment horizontal="center" vertical="center"/>
    </xf>
    <xf numFmtId="0" fontId="14" fillId="0" borderId="20" xfId="832" applyFont="1" applyBorder="1" applyAlignment="1">
      <alignment horizontal="center"/>
    </xf>
    <xf numFmtId="0" fontId="23" fillId="0" borderId="1" xfId="832" applyFont="1" applyBorder="1" applyAlignment="1">
      <alignment horizontal="center"/>
    </xf>
    <xf numFmtId="0" fontId="23" fillId="0" borderId="10" xfId="832" applyFont="1" applyBorder="1" applyAlignment="1">
      <alignment horizontal="center"/>
    </xf>
    <xf numFmtId="0" fontId="14" fillId="0" borderId="1" xfId="832" applyFont="1" applyBorder="1" applyAlignment="1">
      <alignment horizontal="left"/>
    </xf>
    <xf numFmtId="0" fontId="14" fillId="0" borderId="10" xfId="832" applyFont="1" applyBorder="1" applyAlignment="1">
      <alignment horizontal="left"/>
    </xf>
    <xf numFmtId="4" fontId="13" fillId="9" borderId="13" xfId="832" applyNumberFormat="1" applyFont="1" applyFill="1" applyBorder="1" applyAlignment="1">
      <alignment horizontal="center" vertical="center" wrapText="1"/>
    </xf>
    <xf numFmtId="4" fontId="13" fillId="9" borderId="10" xfId="832" applyNumberFormat="1" applyFont="1" applyFill="1" applyBorder="1" applyAlignment="1">
      <alignment horizontal="center" vertical="center" wrapText="1"/>
    </xf>
    <xf numFmtId="0" fontId="11" fillId="0" borderId="0" xfId="832" applyFont="1" applyFill="1" applyAlignment="1">
      <alignment horizontal="center"/>
    </xf>
    <xf numFmtId="0" fontId="23" fillId="0" borderId="0" xfId="832" applyFont="1" applyAlignment="1">
      <alignment horizontal="left" wrapText="1"/>
    </xf>
    <xf numFmtId="0" fontId="14" fillId="0" borderId="20" xfId="832" applyFont="1" applyBorder="1" applyAlignment="1">
      <alignment horizontal="center" vertical="center" wrapText="1"/>
    </xf>
    <xf numFmtId="0" fontId="10" fillId="0" borderId="0" xfId="832" applyFont="1" applyAlignment="1">
      <alignment horizontal="left" vertical="top" wrapText="1"/>
    </xf>
    <xf numFmtId="0" fontId="46" fillId="0" borderId="33" xfId="832" applyFont="1" applyBorder="1" applyAlignment="1">
      <alignment horizontal="center" vertical="top" wrapText="1"/>
    </xf>
    <xf numFmtId="49" fontId="13" fillId="9" borderId="15" xfId="832" applyNumberFormat="1" applyFont="1" applyFill="1" applyBorder="1" applyAlignment="1">
      <alignment horizontal="center" vertical="center" wrapText="1"/>
    </xf>
    <xf numFmtId="49" fontId="13" fillId="9" borderId="9" xfId="832" applyNumberFormat="1" applyFont="1" applyFill="1" applyBorder="1" applyAlignment="1">
      <alignment horizontal="center" vertical="center" wrapText="1"/>
    </xf>
    <xf numFmtId="0" fontId="13" fillId="9" borderId="12" xfId="832" applyFont="1" applyFill="1" applyBorder="1" applyAlignment="1">
      <alignment horizontal="center" vertical="center" wrapText="1"/>
    </xf>
    <xf numFmtId="0" fontId="13" fillId="9" borderId="1" xfId="832" applyFont="1" applyFill="1" applyBorder="1" applyAlignment="1">
      <alignment horizontal="center" vertical="center" wrapText="1"/>
    </xf>
    <xf numFmtId="0" fontId="13" fillId="9" borderId="24" xfId="832" applyFont="1" applyFill="1" applyBorder="1" applyAlignment="1">
      <alignment horizontal="center" vertical="center" wrapText="1"/>
    </xf>
    <xf numFmtId="0" fontId="13" fillId="9" borderId="18" xfId="832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 vertical="top"/>
    </xf>
    <xf numFmtId="0" fontId="2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8" fillId="9" borderId="14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left" vertical="center" wrapText="1"/>
    </xf>
    <xf numFmtId="0" fontId="14" fillId="0" borderId="20" xfId="0" applyFont="1" applyBorder="1" applyAlignment="1">
      <alignment horizontal="left" wrapText="1"/>
    </xf>
    <xf numFmtId="0" fontId="26" fillId="0" borderId="3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4" fontId="24" fillId="9" borderId="1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4" fontId="24" fillId="9" borderId="24" xfId="0" applyNumberFormat="1" applyFont="1" applyFill="1" applyBorder="1" applyAlignment="1">
      <alignment horizontal="center" vertical="center" wrapText="1"/>
    </xf>
    <xf numFmtId="4" fontId="24" fillId="9" borderId="46" xfId="0" applyNumberFormat="1" applyFont="1" applyFill="1" applyBorder="1" applyAlignment="1">
      <alignment horizontal="center" vertical="center" wrapText="1"/>
    </xf>
    <xf numFmtId="4" fontId="24" fillId="9" borderId="18" xfId="0" applyNumberFormat="1" applyFont="1" applyFill="1" applyBorder="1" applyAlignment="1">
      <alignment horizontal="center" vertical="center" wrapText="1"/>
    </xf>
    <xf numFmtId="0" fontId="35" fillId="9" borderId="13" xfId="0" applyFont="1" applyFill="1" applyBorder="1" applyAlignment="1">
      <alignment horizontal="center" vertical="center" wrapText="1"/>
    </xf>
    <xf numFmtId="0" fontId="35" fillId="9" borderId="10" xfId="0" applyFont="1" applyFill="1" applyBorder="1" applyAlignment="1">
      <alignment horizontal="center" vertical="center" wrapText="1"/>
    </xf>
    <xf numFmtId="2" fontId="24" fillId="9" borderId="15" xfId="0" applyNumberFormat="1" applyFont="1" applyFill="1" applyBorder="1" applyAlignment="1">
      <alignment horizontal="center" vertical="center" wrapText="1"/>
    </xf>
    <xf numFmtId="2" fontId="24" fillId="9" borderId="9" xfId="0" applyNumberFormat="1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24" fillId="9" borderId="63" xfId="0" applyNumberFormat="1" applyFont="1" applyFill="1" applyBorder="1" applyAlignment="1">
      <alignment horizontal="center" vertical="center" wrapText="1"/>
    </xf>
    <xf numFmtId="4" fontId="24" fillId="9" borderId="40" xfId="0" applyNumberFormat="1" applyFont="1" applyFill="1" applyBorder="1" applyAlignment="1">
      <alignment horizontal="center" vertical="center" wrapText="1"/>
    </xf>
    <xf numFmtId="4" fontId="24" fillId="9" borderId="64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Alignment="1">
      <alignment horizontal="left" vertical="center"/>
    </xf>
    <xf numFmtId="0" fontId="22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0" fontId="31" fillId="0" borderId="70" xfId="0" applyNumberFormat="1" applyFont="1" applyBorder="1" applyAlignment="1">
      <alignment horizontal="left"/>
    </xf>
    <xf numFmtId="0" fontId="31" fillId="0" borderId="71" xfId="0" applyNumberFormat="1" applyFont="1" applyBorder="1" applyAlignment="1">
      <alignment horizontal="left"/>
    </xf>
    <xf numFmtId="0" fontId="21" fillId="0" borderId="0" xfId="0" applyNumberFormat="1" applyFont="1" applyAlignment="1">
      <alignment horizontal="left" vertical="center"/>
    </xf>
    <xf numFmtId="0" fontId="21" fillId="0" borderId="0" xfId="0" applyNumberFormat="1" applyFont="1" applyAlignment="1">
      <alignment horizontal="left"/>
    </xf>
    <xf numFmtId="0" fontId="22" fillId="0" borderId="0" xfId="0" applyNumberFormat="1" applyFont="1" applyAlignment="1">
      <alignment horizontal="left"/>
    </xf>
    <xf numFmtId="0" fontId="19" fillId="0" borderId="0" xfId="0" applyNumberFormat="1" applyFont="1" applyAlignment="1">
      <alignment horizontal="left"/>
    </xf>
    <xf numFmtId="0" fontId="59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center" vertical="center"/>
    </xf>
    <xf numFmtId="0" fontId="110" fillId="0" borderId="27" xfId="1184" applyFont="1" applyFill="1" applyBorder="1" applyAlignment="1" applyProtection="1">
      <alignment horizontal="center" vertical="center" wrapText="1"/>
    </xf>
    <xf numFmtId="0" fontId="110" fillId="0" borderId="3" xfId="1184" applyFont="1" applyFill="1" applyBorder="1" applyAlignment="1" applyProtection="1">
      <alignment horizontal="center" vertical="center" wrapText="1"/>
    </xf>
    <xf numFmtId="0" fontId="110" fillId="0" borderId="26" xfId="1184" applyFont="1" applyFill="1" applyBorder="1" applyAlignment="1" applyProtection="1">
      <alignment horizontal="center" vertical="center" wrapText="1"/>
    </xf>
    <xf numFmtId="0" fontId="110" fillId="0" borderId="27" xfId="1184" applyFont="1" applyFill="1" applyBorder="1" applyAlignment="1" applyProtection="1">
      <alignment horizontal="center" vertical="center"/>
    </xf>
    <xf numFmtId="0" fontId="110" fillId="0" borderId="3" xfId="1184" applyFont="1" applyFill="1" applyBorder="1" applyAlignment="1" applyProtection="1">
      <alignment horizontal="center" vertical="center"/>
    </xf>
    <xf numFmtId="0" fontId="110" fillId="0" borderId="26" xfId="1184" applyFont="1" applyFill="1" applyBorder="1" applyAlignment="1" applyProtection="1">
      <alignment horizontal="center" vertical="center"/>
    </xf>
    <xf numFmtId="49" fontId="110" fillId="14" borderId="27" xfId="1184" applyNumberFormat="1" applyFont="1" applyFill="1" applyBorder="1" applyAlignment="1" applyProtection="1">
      <alignment horizontal="center" vertical="center" wrapText="1"/>
    </xf>
    <xf numFmtId="49" fontId="110" fillId="14" borderId="3" xfId="1184" applyNumberFormat="1" applyFont="1" applyFill="1" applyBorder="1" applyAlignment="1" applyProtection="1">
      <alignment horizontal="center" vertical="center" wrapText="1"/>
    </xf>
    <xf numFmtId="49" fontId="110" fillId="14" borderId="26" xfId="1184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3" fontId="22" fillId="0" borderId="10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21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168" fontId="14" fillId="0" borderId="76" xfId="2066" applyNumberFormat="1" applyFont="1" applyFill="1" applyBorder="1" applyAlignment="1">
      <alignment horizontal="center" vertical="center" wrapText="1"/>
    </xf>
    <xf numFmtId="168" fontId="14" fillId="0" borderId="49" xfId="2066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0" fillId="0" borderId="27" xfId="7739" applyFont="1" applyFill="1" applyBorder="1" applyAlignment="1" applyProtection="1">
      <alignment horizontal="center" vertical="center" wrapText="1"/>
    </xf>
    <xf numFmtId="0" fontId="110" fillId="0" borderId="3" xfId="7739" applyFont="1" applyFill="1" applyBorder="1" applyAlignment="1" applyProtection="1">
      <alignment horizontal="center" vertical="center" wrapText="1"/>
    </xf>
    <xf numFmtId="0" fontId="110" fillId="0" borderId="26" xfId="7739" applyFont="1" applyFill="1" applyBorder="1" applyAlignment="1" applyProtection="1">
      <alignment horizontal="center" vertical="center" wrapText="1"/>
    </xf>
    <xf numFmtId="0" fontId="110" fillId="0" borderId="29" xfId="7739" applyFont="1" applyFill="1" applyBorder="1" applyAlignment="1" applyProtection="1">
      <alignment horizontal="center" vertical="center"/>
    </xf>
    <xf numFmtId="0" fontId="110" fillId="0" borderId="33" xfId="7739" applyFont="1" applyFill="1" applyBorder="1" applyAlignment="1" applyProtection="1">
      <alignment horizontal="center" vertical="center"/>
    </xf>
    <xf numFmtId="0" fontId="110" fillId="0" borderId="28" xfId="7739" applyFont="1" applyFill="1" applyBorder="1" applyAlignment="1" applyProtection="1">
      <alignment horizontal="center" vertical="center"/>
    </xf>
    <xf numFmtId="49" fontId="110" fillId="14" borderId="15" xfId="7739" applyNumberFormat="1" applyFont="1" applyFill="1" applyBorder="1" applyAlignment="1" applyProtection="1">
      <alignment horizontal="center" vertical="center" wrapText="1"/>
    </xf>
    <xf numFmtId="49" fontId="110" fillId="14" borderId="12" xfId="7739" applyNumberFormat="1" applyFont="1" applyFill="1" applyBorder="1" applyAlignment="1" applyProtection="1">
      <alignment horizontal="center" vertical="center" wrapText="1"/>
    </xf>
    <xf numFmtId="49" fontId="110" fillId="14" borderId="13" xfId="7739" applyNumberFormat="1" applyFont="1" applyFill="1" applyBorder="1" applyAlignment="1" applyProtection="1">
      <alignment horizontal="center" vertical="center" wrapText="1"/>
    </xf>
    <xf numFmtId="49" fontId="110" fillId="14" borderId="74" xfId="7739" applyNumberFormat="1" applyFont="1" applyFill="1" applyBorder="1" applyAlignment="1" applyProtection="1">
      <alignment horizontal="center" vertical="center" wrapText="1"/>
    </xf>
    <xf numFmtId="49" fontId="110" fillId="14" borderId="20" xfId="7739" applyNumberFormat="1" applyFont="1" applyFill="1" applyBorder="1" applyAlignment="1" applyProtection="1">
      <alignment horizontal="center" vertical="center" wrapText="1"/>
    </xf>
    <xf numFmtId="49" fontId="110" fillId="14" borderId="0" xfId="7739" applyNumberFormat="1" applyFont="1" applyFill="1" applyBorder="1" applyAlignment="1" applyProtection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top"/>
    </xf>
    <xf numFmtId="0" fontId="14" fillId="9" borderId="14" xfId="0" applyFont="1" applyFill="1" applyBorder="1" applyAlignment="1">
      <alignment horizontal="left" vertical="center" wrapText="1"/>
    </xf>
    <xf numFmtId="0" fontId="23" fillId="0" borderId="20" xfId="0" applyFont="1" applyBorder="1" applyAlignment="1">
      <alignment horizontal="center"/>
    </xf>
    <xf numFmtId="0" fontId="43" fillId="0" borderId="9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9" borderId="12" xfId="0" applyFont="1" applyFill="1" applyBorder="1" applyAlignment="1">
      <alignment horizontal="center" vertical="center"/>
    </xf>
    <xf numFmtId="0" fontId="43" fillId="9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Fill="1" applyAlignment="1">
      <alignment horizontal="center"/>
    </xf>
    <xf numFmtId="0" fontId="23" fillId="0" borderId="33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14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67" fontId="47" fillId="0" borderId="0" xfId="1925" applyNumberFormat="1" applyFont="1" applyFill="1" applyAlignment="1">
      <alignment horizontal="left" vertical="center" wrapText="1"/>
    </xf>
    <xf numFmtId="0" fontId="67" fillId="0" borderId="0" xfId="0" applyFont="1" applyAlignment="1">
      <alignment horizontal="right" vertical="center"/>
    </xf>
    <xf numFmtId="0" fontId="48" fillId="0" borderId="0" xfId="1925" applyFont="1" applyAlignment="1">
      <alignment horizontal="center" vertical="center"/>
    </xf>
    <xf numFmtId="0" fontId="23" fillId="0" borderId="33" xfId="0" applyFont="1" applyBorder="1" applyAlignment="1">
      <alignment horizontal="center"/>
    </xf>
    <xf numFmtId="0" fontId="48" fillId="0" borderId="0" xfId="1924" applyFont="1" applyAlignment="1">
      <alignment horizontal="center" vertical="center" wrapText="1"/>
    </xf>
    <xf numFmtId="0" fontId="49" fillId="0" borderId="0" xfId="1924" applyFont="1" applyBorder="1" applyAlignment="1">
      <alignment horizontal="right" vertical="center"/>
    </xf>
    <xf numFmtId="0" fontId="49" fillId="0" borderId="1" xfId="1924" applyFont="1" applyFill="1" applyBorder="1" applyAlignment="1">
      <alignment horizontal="center" vertical="center"/>
    </xf>
    <xf numFmtId="0" fontId="49" fillId="0" borderId="10" xfId="1924" applyFont="1" applyFill="1" applyBorder="1" applyAlignment="1">
      <alignment horizontal="center" vertical="center"/>
    </xf>
    <xf numFmtId="0" fontId="14" fillId="0" borderId="0" xfId="1911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37" fillId="0" borderId="0" xfId="861" applyFont="1" applyFill="1" applyAlignment="1">
      <alignment horizontal="right"/>
    </xf>
    <xf numFmtId="0" fontId="14" fillId="0" borderId="0" xfId="1912" applyFont="1" applyFill="1" applyAlignment="1">
      <alignment horizontal="center" vertical="center"/>
    </xf>
    <xf numFmtId="0" fontId="23" fillId="17" borderId="20" xfId="0" applyFont="1" applyFill="1" applyBorder="1" applyAlignment="1">
      <alignment horizontal="center"/>
    </xf>
    <xf numFmtId="0" fontId="14" fillId="17" borderId="20" xfId="0" applyFont="1" applyFill="1" applyBorder="1" applyAlignment="1">
      <alignment horizontal="center" wrapText="1"/>
    </xf>
    <xf numFmtId="0" fontId="14" fillId="0" borderId="40" xfId="1923" applyFont="1" applyFill="1" applyBorder="1" applyAlignment="1">
      <alignment horizontal="center"/>
    </xf>
    <xf numFmtId="0" fontId="37" fillId="0" borderId="0" xfId="0" applyFont="1" applyAlignment="1"/>
    <xf numFmtId="0" fontId="14" fillId="0" borderId="0" xfId="1923" applyFont="1" applyBorder="1" applyAlignment="1">
      <alignment horizontal="center"/>
    </xf>
    <xf numFmtId="0" fontId="14" fillId="0" borderId="20" xfId="0" applyFont="1" applyBorder="1" applyAlignment="1">
      <alignment horizontal="center" vertical="center" wrapText="1"/>
    </xf>
    <xf numFmtId="0" fontId="14" fillId="0" borderId="0" xfId="1910" applyFont="1" applyAlignment="1">
      <alignment horizontal="center"/>
    </xf>
    <xf numFmtId="0" fontId="14" fillId="0" borderId="20" xfId="0" applyNumberFormat="1" applyFont="1" applyBorder="1" applyAlignment="1">
      <alignment horizont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horizontal="left" vertical="center" wrapText="1"/>
    </xf>
    <xf numFmtId="2" fontId="11" fillId="0" borderId="16" xfId="0" applyNumberFormat="1" applyFont="1" applyFill="1" applyBorder="1" applyAlignment="1">
      <alignment horizontal="left" vertical="center" wrapText="1"/>
    </xf>
    <xf numFmtId="2" fontId="11" fillId="0" borderId="32" xfId="0" applyNumberFormat="1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2" fontId="13" fillId="0" borderId="76" xfId="0" applyNumberFormat="1" applyFont="1" applyBorder="1" applyAlignment="1">
      <alignment horizontal="center" vertical="center"/>
    </xf>
    <xf numFmtId="2" fontId="13" fillId="0" borderId="42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0" fontId="22" fillId="0" borderId="20" xfId="0" applyFont="1" applyBorder="1" applyAlignment="1">
      <alignment horizontal="center" wrapText="1"/>
    </xf>
    <xf numFmtId="0" fontId="43" fillId="9" borderId="12" xfId="0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19" fillId="0" borderId="20" xfId="0" applyFont="1" applyBorder="1" applyAlignment="1">
      <alignment horizontal="center"/>
    </xf>
    <xf numFmtId="0" fontId="43" fillId="0" borderId="14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43" fillId="9" borderId="13" xfId="0" applyFont="1" applyFill="1" applyBorder="1" applyAlignment="1">
      <alignment horizontal="center" vertical="center" wrapText="1"/>
    </xf>
    <xf numFmtId="0" fontId="43" fillId="0" borderId="0" xfId="0" applyFont="1" applyBorder="1" applyAlignment="1">
      <alignment horizontal="right"/>
    </xf>
    <xf numFmtId="0" fontId="43" fillId="9" borderId="15" xfId="0" applyFont="1" applyFill="1" applyBorder="1" applyAlignment="1">
      <alignment horizontal="center" vertical="center" wrapText="1"/>
    </xf>
    <xf numFmtId="0" fontId="43" fillId="9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1922" applyFont="1" applyFill="1" applyBorder="1" applyAlignment="1">
      <alignment horizontal="center"/>
    </xf>
    <xf numFmtId="0" fontId="22" fillId="0" borderId="0" xfId="1922" applyFont="1" applyFill="1" applyBorder="1" applyAlignment="1">
      <alignment horizontal="center" vertical="center" wrapText="1"/>
    </xf>
    <xf numFmtId="0" fontId="30" fillId="0" borderId="81" xfId="1922" applyFont="1" applyFill="1" applyBorder="1" applyAlignment="1">
      <alignment vertical="center" wrapText="1"/>
    </xf>
    <xf numFmtId="0" fontId="30" fillId="0" borderId="59" xfId="1922" applyFont="1" applyFill="1" applyBorder="1" applyAlignment="1">
      <alignment vertical="center" wrapText="1"/>
    </xf>
    <xf numFmtId="0" fontId="89" fillId="0" borderId="77" xfId="1922" applyFont="1" applyFill="1" applyBorder="1" applyAlignment="1">
      <alignment horizontal="center" vertical="center" wrapText="1"/>
    </xf>
    <xf numFmtId="0" fontId="89" fillId="0" borderId="60" xfId="1922" applyFont="1" applyFill="1" applyBorder="1" applyAlignment="1">
      <alignment horizontal="center" vertical="center" wrapText="1"/>
    </xf>
    <xf numFmtId="0" fontId="89" fillId="0" borderId="78" xfId="1922" applyFont="1" applyFill="1" applyBorder="1" applyAlignment="1">
      <alignment horizontal="center" vertical="center" wrapText="1"/>
    </xf>
    <xf numFmtId="0" fontId="89" fillId="0" borderId="79" xfId="1922" applyFont="1" applyFill="1" applyBorder="1" applyAlignment="1">
      <alignment horizontal="center" vertical="center" wrapText="1"/>
    </xf>
    <xf numFmtId="4" fontId="89" fillId="0" borderId="77" xfId="1922" applyNumberFormat="1" applyFont="1" applyBorder="1" applyAlignment="1">
      <alignment horizontal="center" vertical="center" wrapText="1"/>
    </xf>
    <xf numFmtId="4" fontId="89" fillId="0" borderId="60" xfId="1922" applyNumberFormat="1" applyFont="1" applyBorder="1" applyAlignment="1">
      <alignment horizontal="center" vertical="center" wrapText="1"/>
    </xf>
    <xf numFmtId="4" fontId="89" fillId="0" borderId="78" xfId="1922" applyNumberFormat="1" applyFont="1" applyBorder="1" applyAlignment="1">
      <alignment horizontal="center" vertical="center" wrapText="1"/>
    </xf>
    <xf numFmtId="4" fontId="89" fillId="0" borderId="79" xfId="1922" applyNumberFormat="1" applyFont="1" applyBorder="1" applyAlignment="1">
      <alignment horizontal="center" vertical="center" wrapText="1"/>
    </xf>
    <xf numFmtId="0" fontId="89" fillId="0" borderId="80" xfId="1922" applyFont="1" applyBorder="1" applyAlignment="1">
      <alignment horizontal="center" vertical="center"/>
    </xf>
    <xf numFmtId="0" fontId="89" fillId="0" borderId="61" xfId="1922" applyFont="1" applyBorder="1" applyAlignment="1">
      <alignment horizontal="center" vertical="center"/>
    </xf>
    <xf numFmtId="0" fontId="62" fillId="0" borderId="0" xfId="1916" applyFont="1" applyBorder="1" applyAlignment="1" applyProtection="1">
      <alignment horizontal="left" vertical="center" wrapText="1"/>
      <protection locked="0"/>
    </xf>
    <xf numFmtId="0" fontId="62" fillId="0" borderId="0" xfId="1916" applyFont="1" applyAlignment="1">
      <alignment horizontal="center" vertical="center"/>
    </xf>
    <xf numFmtId="3" fontId="69" fillId="9" borderId="38" xfId="1916" applyNumberFormat="1" applyFont="1" applyFill="1" applyBorder="1" applyAlignment="1" applyProtection="1">
      <alignment horizontal="center" vertical="center" wrapText="1"/>
      <protection locked="0"/>
    </xf>
    <xf numFmtId="3" fontId="69" fillId="9" borderId="67" xfId="1916" applyNumberFormat="1" applyFont="1" applyFill="1" applyBorder="1" applyAlignment="1" applyProtection="1">
      <alignment horizontal="center" vertical="center" wrapText="1"/>
      <protection locked="0"/>
    </xf>
    <xf numFmtId="0" fontId="62" fillId="0" borderId="4" xfId="1916" applyFont="1" applyBorder="1" applyAlignment="1" applyProtection="1">
      <alignment horizontal="left" vertical="center" wrapText="1"/>
      <protection locked="0"/>
    </xf>
    <xf numFmtId="0" fontId="14" fillId="0" borderId="0" xfId="1916" applyFont="1" applyBorder="1" applyAlignment="1">
      <alignment horizontal="left" vertical="center" wrapText="1"/>
    </xf>
    <xf numFmtId="0" fontId="46" fillId="0" borderId="0" xfId="0" applyFont="1" applyBorder="1" applyAlignment="1">
      <alignment horizontal="center" vertical="center"/>
    </xf>
    <xf numFmtId="0" fontId="69" fillId="9" borderId="23" xfId="1916" applyFont="1" applyFill="1" applyBorder="1" applyAlignment="1" applyProtection="1">
      <alignment horizontal="center" vertical="center" wrapText="1"/>
      <protection locked="0"/>
    </xf>
    <xf numFmtId="0" fontId="69" fillId="9" borderId="17" xfId="1916" applyFont="1" applyFill="1" applyBorder="1" applyAlignment="1" applyProtection="1">
      <alignment horizontal="center" vertical="center" wrapText="1"/>
      <protection locked="0"/>
    </xf>
    <xf numFmtId="0" fontId="69" fillId="9" borderId="24" xfId="1916" applyFont="1" applyFill="1" applyBorder="1" applyAlignment="1" applyProtection="1">
      <alignment horizontal="center" vertical="center" wrapText="1"/>
      <protection locked="0"/>
    </xf>
    <xf numFmtId="0" fontId="69" fillId="9" borderId="18" xfId="1916" applyFont="1" applyFill="1" applyBorder="1" applyAlignment="1" applyProtection="1">
      <alignment horizontal="center" vertical="center" wrapText="1"/>
      <protection locked="0"/>
    </xf>
    <xf numFmtId="0" fontId="14" fillId="0" borderId="0" xfId="1922" applyFont="1" applyFill="1" applyBorder="1" applyAlignment="1">
      <alignment horizontal="right"/>
    </xf>
    <xf numFmtId="0" fontId="11" fillId="0" borderId="82" xfId="1922" applyFont="1" applyFill="1" applyBorder="1" applyAlignment="1">
      <alignment vertical="center" wrapText="1"/>
    </xf>
    <xf numFmtId="0" fontId="11" fillId="0" borderId="83" xfId="1922" applyFont="1" applyFill="1" applyBorder="1" applyAlignment="1">
      <alignment vertical="center" wrapText="1"/>
    </xf>
    <xf numFmtId="0" fontId="89" fillId="0" borderId="12" xfId="1922" applyFont="1" applyFill="1" applyBorder="1" applyAlignment="1">
      <alignment horizontal="center" vertical="center" wrapText="1"/>
    </xf>
    <xf numFmtId="0" fontId="89" fillId="0" borderId="14" xfId="1922" applyFont="1" applyFill="1" applyBorder="1" applyAlignment="1">
      <alignment horizontal="center" vertical="center" wrapText="1"/>
    </xf>
    <xf numFmtId="4" fontId="89" fillId="0" borderId="12" xfId="1922" applyNumberFormat="1" applyFont="1" applyBorder="1" applyAlignment="1">
      <alignment horizontal="center" vertical="center" wrapText="1"/>
    </xf>
    <xf numFmtId="4" fontId="89" fillId="0" borderId="14" xfId="1922" applyNumberFormat="1" applyFont="1" applyBorder="1" applyAlignment="1">
      <alignment horizontal="center" vertical="center" wrapText="1"/>
    </xf>
    <xf numFmtId="0" fontId="89" fillId="0" borderId="84" xfId="1922" applyFont="1" applyBorder="1" applyAlignment="1">
      <alignment horizontal="center" vertical="center"/>
    </xf>
    <xf numFmtId="0" fontId="89" fillId="0" borderId="85" xfId="1922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54" fillId="0" borderId="0" xfId="5969" applyFont="1" applyAlignment="1">
      <alignment horizontal="left" vertical="center" wrapText="1"/>
    </xf>
    <xf numFmtId="0" fontId="154" fillId="0" borderId="0" xfId="5969" applyFont="1" applyAlignment="1">
      <alignment horizontal="right" vertical="center" wrapText="1"/>
    </xf>
    <xf numFmtId="0" fontId="3" fillId="24" borderId="27" xfId="5969" applyFill="1" applyBorder="1" applyAlignment="1" applyProtection="1">
      <alignment horizontal="center" vertical="center"/>
      <protection locked="0"/>
    </xf>
    <xf numFmtId="0" fontId="3" fillId="24" borderId="3" xfId="5969" applyFill="1" applyBorder="1" applyAlignment="1" applyProtection="1">
      <alignment horizontal="center" vertical="center"/>
      <protection locked="0"/>
    </xf>
    <xf numFmtId="0" fontId="3" fillId="24" borderId="27" xfId="5969" applyFont="1" applyFill="1" applyBorder="1" applyAlignment="1" applyProtection="1">
      <alignment horizontal="center" vertical="center" wrapText="1"/>
      <protection locked="0"/>
    </xf>
    <xf numFmtId="0" fontId="3" fillId="24" borderId="3" xfId="5969" applyFont="1" applyFill="1" applyBorder="1" applyAlignment="1" applyProtection="1">
      <alignment horizontal="center" vertical="center" wrapText="1"/>
      <protection locked="0"/>
    </xf>
    <xf numFmtId="2" fontId="3" fillId="24" borderId="27" xfId="5969" applyNumberFormat="1" applyFont="1" applyFill="1" applyBorder="1" applyAlignment="1" applyProtection="1">
      <alignment horizontal="center" vertical="center" wrapText="1"/>
      <protection locked="0"/>
    </xf>
    <xf numFmtId="2" fontId="3" fillId="24" borderId="3" xfId="5969" applyNumberFormat="1" applyFont="1" applyFill="1" applyBorder="1" applyAlignment="1" applyProtection="1">
      <alignment horizontal="center" vertical="center" wrapText="1"/>
      <protection locked="0"/>
    </xf>
    <xf numFmtId="0" fontId="151" fillId="21" borderId="73" xfId="5969" applyFont="1" applyFill="1" applyBorder="1" applyAlignment="1" applyProtection="1">
      <alignment horizontal="left" vertical="center"/>
    </xf>
    <xf numFmtId="0" fontId="151" fillId="21" borderId="42" xfId="5969" applyFont="1" applyFill="1" applyBorder="1" applyAlignment="1" applyProtection="1">
      <alignment horizontal="left" vertical="center"/>
    </xf>
    <xf numFmtId="0" fontId="153" fillId="0" borderId="73" xfId="5969" applyFont="1" applyBorder="1" applyAlignment="1" applyProtection="1">
      <alignment horizontal="left" vertical="center"/>
    </xf>
    <xf numFmtId="0" fontId="153" fillId="0" borderId="2" xfId="5969" applyFont="1" applyBorder="1" applyAlignment="1" applyProtection="1">
      <alignment horizontal="left" vertical="center"/>
    </xf>
    <xf numFmtId="0" fontId="154" fillId="15" borderId="0" xfId="5969" applyFont="1" applyFill="1" applyAlignment="1">
      <alignment horizontal="left" vertical="center" wrapText="1"/>
    </xf>
    <xf numFmtId="0" fontId="164" fillId="22" borderId="27" xfId="5969" applyFont="1" applyFill="1" applyBorder="1" applyAlignment="1" applyProtection="1">
      <alignment horizontal="center" vertical="center"/>
      <protection locked="0"/>
    </xf>
    <xf numFmtId="0" fontId="164" fillId="22" borderId="3" xfId="5969" applyFont="1" applyFill="1" applyBorder="1" applyAlignment="1" applyProtection="1">
      <alignment horizontal="center" vertical="center"/>
      <protection locked="0"/>
    </xf>
    <xf numFmtId="0" fontId="154" fillId="0" borderId="0" xfId="5969" applyFont="1" applyAlignment="1" applyProtection="1">
      <alignment horizontal="left" vertical="center" wrapText="1"/>
      <protection locked="0"/>
    </xf>
    <xf numFmtId="0" fontId="154" fillId="0" borderId="0" xfId="5969" applyFont="1" applyAlignment="1" applyProtection="1">
      <alignment horizontal="right" vertical="center" wrapText="1"/>
      <protection locked="0"/>
    </xf>
    <xf numFmtId="0" fontId="154" fillId="0" borderId="0" xfId="5969" applyFont="1" applyAlignment="1" applyProtection="1">
      <alignment horizontal="right" vertical="center"/>
      <protection locked="0"/>
    </xf>
    <xf numFmtId="0" fontId="155" fillId="0" borderId="0" xfId="5969" applyFont="1" applyAlignment="1" applyProtection="1">
      <alignment horizontal="center" vertical="center"/>
    </xf>
  </cellXfs>
  <cellStyles count="7741">
    <cellStyle name="_ Компенсация разницы ст-ти дизтоплива-Кубла" xfId="2363"/>
    <cellStyle name="_10.Труба обсадная ПО мр 2006г." xfId="2364"/>
    <cellStyle name="_3 Бюджет Узбекистан" xfId="2365"/>
    <cellStyle name="_452Р02" xfId="1"/>
    <cellStyle name="_I кв.2004" xfId="2366"/>
    <cellStyle name="_Амортизация ПСД - факт" xfId="2367"/>
    <cellStyle name="_Анализ Амортизации по смете, и фактических имущ. платежей (Лизинга)" xfId="2368"/>
    <cellStyle name="_Аренда_лизинг" xfId="2369"/>
    <cellStyle name="_Аренда_лизинг 2005" xfId="2370"/>
    <cellStyle name="_бурение на 337 скв. 21.04.04 (к защите 23.04.04)" xfId="2"/>
    <cellStyle name="_Возмещение амортизации ССК" xfId="2371"/>
    <cellStyle name="_Выполнение за август 08г. (обс.трубы Тлеук)" xfId="2372"/>
    <cellStyle name="_доп.затраты на мобилизацию бурения" xfId="3"/>
    <cellStyle name="_Дох. ст_структура_2 пол.04 г.УТТ-2 наличие 1.07.04" xfId="2373"/>
    <cellStyle name="_Дох.ставки с 1.07 НПБС_2" xfId="2374"/>
    <cellStyle name="_ЕТ на 4 квартал 6 вариант " xfId="2375"/>
    <cellStyle name="_ИСР - Установка цем.моста на В.Айтузе (98 час.=4,08сут.)" xfId="2376"/>
    <cellStyle name="_Книга13" xfId="2377"/>
    <cellStyle name="_Компенсация дизтоплива Жиес" xfId="2378"/>
    <cellStyle name="_Лист1" xfId="2379"/>
    <cellStyle name="_Материалы" xfId="2380"/>
    <cellStyle name="_мой вариант" xfId="2381"/>
    <cellStyle name="_Накладные по диз.топливу по Тлеукудук" xfId="2382"/>
    <cellStyle name="_объемы  бурения 2004г " xfId="4"/>
    <cellStyle name="_Объемы ГРР (свод)" xfId="2383"/>
    <cellStyle name="_Охрана 136 Снежной" xfId="2384"/>
    <cellStyle name="_Переправа" xfId="2385"/>
    <cellStyle name="_ПП на 18 сентября" xfId="2386"/>
    <cellStyle name="_приход" xfId="2387"/>
    <cellStyle name="_Производственная программа-2004 на 2 полугодие" xfId="2388"/>
    <cellStyle name="_Раскладка В Айтуз для компенсации" xfId="2389"/>
    <cellStyle name="_Расчёт индекса на 3 квартал 04 от  01.07.04 вар. ТН" xfId="2390"/>
    <cellStyle name="_Расчет- компенсация ТМЦ Тлеукудук" xfId="2391"/>
    <cellStyle name="_РАСЧЕТЫ ПО КОМПЕНСАЦИИ" xfId="2392"/>
    <cellStyle name="_Сверка выполненных объемов _ТЕДЖЕНКАЗГАН" xfId="2393"/>
    <cellStyle name="_Свод AFE (блок А и Б) 29.12.03" xfId="5"/>
    <cellStyle name="_сводная информация к защите (данные без индекса)" xfId="6"/>
    <cellStyle name="_сводная информация к защите 2006 г. (данные без индекса)" xfId="7"/>
    <cellStyle name="_сводная информация к защите 2008 г. (данные без индекса)" xfId="8"/>
    <cellStyle name="_Смета подрядчика  для предоставления" xfId="2394"/>
    <cellStyle name="_Смета подрядчика 21.04.08 в долларах" xfId="2395"/>
    <cellStyle name="_Смета подрядчика 22.10.07 руб." xfId="2396"/>
    <cellStyle name="_Смета подрядчика 28.08.08" xfId="2397"/>
    <cellStyle name="_Смета Северный Аламбек" xfId="2398"/>
    <cellStyle name="_Сметные расчеты 22.10.07" xfId="2399"/>
    <cellStyle name="_Сметные расчеты Восточный Айтуз" xfId="2400"/>
    <cellStyle name="_Сметные расчеты Восточный Айтуз измен.26.09" xfId="2401"/>
    <cellStyle name="_Сметные расчеты ЖИЕС (тек цены $) геоф 15 от 04.02.08" xfId="2402"/>
    <cellStyle name="_Сметные расчеты Картпай для ССК" xfId="2403"/>
    <cellStyle name="_Сметные расчеты Картпай исправленный 20.09.07" xfId="2404"/>
    <cellStyle name="_Тариф УТТ-4 для согласов" xfId="2405"/>
    <cellStyle name="_Тарифы 21.06.04" xfId="2406"/>
    <cellStyle name="_Теджен химия и цемент" xfId="2407"/>
    <cellStyle name="_Тенженказган для компенсации-труба" xfId="2408"/>
    <cellStyle name="_Тенженказган для компенсации-труба и раскладка сметы" xfId="2409"/>
    <cellStyle name="_Тенженказган цемент" xfId="2410"/>
    <cellStyle name="_Тенженказгандля компенсации-топливо" xfId="2411"/>
    <cellStyle name="_УТТ-4 тариф 4 кв на 16 сент" xfId="2412"/>
    <cellStyle name="_УФ бурение 2005г от 20.04.04г (19-00)" xfId="9"/>
    <cellStyle name="_УФ бурение 2005г от 21.04.04г (14-00)" xfId="10"/>
    <cellStyle name="_УФ бурение 2005г от 21.04.04г (14-00) без индекса" xfId="11"/>
    <cellStyle name="_УФ по бурению 2007 (1000-336-х)" xfId="12"/>
    <cellStyle name="_Форма бюджета Нишкевич Ю.А." xfId="13"/>
    <cellStyle name="0" xfId="2413"/>
    <cellStyle name="0,00;0;" xfId="2414"/>
    <cellStyle name="args.style" xfId="14"/>
    <cellStyle name="ASIB1инансовый_SV-6357" xfId="15"/>
    <cellStyle name="Body" xfId="16"/>
    <cellStyle name="Calc Currency (0)" xfId="17"/>
    <cellStyle name="Calc Currency (0) 2" xfId="18"/>
    <cellStyle name="Calc Currency (0) 3" xfId="19"/>
    <cellStyle name="Comma [0]" xfId="20"/>
    <cellStyle name="Comma [0] 2" xfId="2415"/>
    <cellStyle name="Comma_irl tel sep5" xfId="21"/>
    <cellStyle name="Copied" xfId="22"/>
    <cellStyle name="Currency [0]" xfId="23"/>
    <cellStyle name="Currency [0] 2" xfId="2416"/>
    <cellStyle name="Currency_AFEWell 77210" xfId="24"/>
    <cellStyle name="DATUM" xfId="25"/>
    <cellStyle name="Dezimal [0]_NEGS" xfId="26"/>
    <cellStyle name="Dezimal_NEGS" xfId="27"/>
    <cellStyle name="Entered" xfId="28"/>
    <cellStyle name="Excel Built-in Normal" xfId="2417"/>
    <cellStyle name="FEST" xfId="29"/>
    <cellStyle name="Followed Hyperlink" xfId="30"/>
    <cellStyle name="form" xfId="31"/>
    <cellStyle name="Grey" xfId="32"/>
    <cellStyle name="Head 1" xfId="33"/>
    <cellStyle name="Header1" xfId="34"/>
    <cellStyle name="Header2" xfId="35"/>
    <cellStyle name="HEADINGS" xfId="36"/>
    <cellStyle name="HEADINGSTOP" xfId="37"/>
    <cellStyle name="Hyperlink" xfId="38"/>
    <cellStyle name="Hyperlink 2" xfId="39"/>
    <cellStyle name="Iau?iue_drnrcodiaec e in?lno cr 1999 aia" xfId="2418"/>
    <cellStyle name="Input [yellow]" xfId="40"/>
    <cellStyle name="Input cells" xfId="41"/>
    <cellStyle name="Input cells 2" xfId="42"/>
    <cellStyle name="KOPFZEILE1" xfId="43"/>
    <cellStyle name="KOPFZEILE2" xfId="44"/>
    <cellStyle name="Normal - Style1" xfId="45"/>
    <cellStyle name="Normal 2" xfId="46"/>
    <cellStyle name="Normal 2 2" xfId="47"/>
    <cellStyle name="Normal 2 3" xfId="48"/>
    <cellStyle name="Normal 2 3 2" xfId="49"/>
    <cellStyle name="Normal 2_Kharyaga_EP-1_KHA-E1-07_DnM_MR" xfId="50"/>
    <cellStyle name="Normal 3" xfId="51"/>
    <cellStyle name="Normal 3 2" xfId="52"/>
    <cellStyle name="Normal 39" xfId="53"/>
    <cellStyle name="Normal 39 2" xfId="54"/>
    <cellStyle name="Normal 4" xfId="55"/>
    <cellStyle name="Normal 4 2" xfId="56"/>
    <cellStyle name="Normal 5" xfId="57"/>
    <cellStyle name="Normal 6" xfId="58"/>
    <cellStyle name="Normal 6 2" xfId="59"/>
    <cellStyle name="Normal_07-01-03 7 days plan" xfId="60"/>
    <cellStyle name="normбlnм_laroux" xfId="61"/>
    <cellStyle name="per.style" xfId="62"/>
    <cellStyle name="Percent [2]" xfId="63"/>
    <cellStyle name="regstoresfromspecstores" xfId="64"/>
    <cellStyle name="RevList" xfId="65"/>
    <cellStyle name="SHADEDSTORES" xfId="66"/>
    <cellStyle name="Shell" xfId="67"/>
    <cellStyle name="Special" xfId="2419"/>
    <cellStyle name="specstores" xfId="68"/>
    <cellStyle name="Standard_NEGS" xfId="69"/>
    <cellStyle name="Subtotal" xfId="70"/>
    <cellStyle name="SUMME" xfId="71"/>
    <cellStyle name="а1`Р68" xfId="72"/>
    <cellStyle name="Беззащитный" xfId="2420"/>
    <cellStyle name="Денежный 2" xfId="73"/>
    <cellStyle name="Денежный 3" xfId="74"/>
    <cellStyle name="Денежный 3 2" xfId="75"/>
    <cellStyle name="Денежный 3 3" xfId="76"/>
    <cellStyle name="Денежный 4" xfId="77"/>
    <cellStyle name="Денежный 4 2" xfId="78"/>
    <cellStyle name="Денежный 4 2 2" xfId="79"/>
    <cellStyle name="Денежный 4 2 2 2" xfId="80"/>
    <cellStyle name="Денежный 4 2 2 2 2" xfId="81"/>
    <cellStyle name="Денежный 4 2 2 3" xfId="82"/>
    <cellStyle name="Денежный 4 2 2 4" xfId="83"/>
    <cellStyle name="Денежный 4 2 2 5" xfId="84"/>
    <cellStyle name="Денежный 4 2 3" xfId="85"/>
    <cellStyle name="Денежный 4 2 3 2" xfId="86"/>
    <cellStyle name="Денежный 4 2 4" xfId="87"/>
    <cellStyle name="Денежный 4 2 5" xfId="88"/>
    <cellStyle name="Денежный 4 2 6" xfId="89"/>
    <cellStyle name="Денежный 4 3" xfId="90"/>
    <cellStyle name="Денежный 4 4" xfId="91"/>
    <cellStyle name="Денежный 4 4 2" xfId="92"/>
    <cellStyle name="Денежный 4 4 2 2" xfId="93"/>
    <cellStyle name="Денежный 4 4 3" xfId="94"/>
    <cellStyle name="Денежный 4 4 4" xfId="95"/>
    <cellStyle name="Денежный 4 4 5" xfId="96"/>
    <cellStyle name="Денежный 4 5" xfId="97"/>
    <cellStyle name="Денежный 4 5 2" xfId="98"/>
    <cellStyle name="Денежный 4 6" xfId="99"/>
    <cellStyle name="Денежный 4 7" xfId="100"/>
    <cellStyle name="Денежный 4 8" xfId="101"/>
    <cellStyle name="Защитный" xfId="2421"/>
    <cellStyle name="нансовый_GUJ_RB[Nинансовый_SASIB1инансовый_SV-6357" xfId="102"/>
    <cellStyle name="нсовый_SASIB1инансовый_SV-6357" xfId="103"/>
    <cellStyle name="Обычный" xfId="0" builtinId="0"/>
    <cellStyle name="Обычный 10" xfId="104"/>
    <cellStyle name="Обычный 10 10" xfId="105"/>
    <cellStyle name="Обычный 10 10 2" xfId="106"/>
    <cellStyle name="Обычный 10 10 2 2" xfId="2422"/>
    <cellStyle name="Обычный 10 10 2 2 2" xfId="5971"/>
    <cellStyle name="Обычный 10 10 2 3" xfId="2423"/>
    <cellStyle name="Обычный 10 10 3" xfId="2424"/>
    <cellStyle name="Обычный 10 10 3 2" xfId="5972"/>
    <cellStyle name="Обычный 10 10 4" xfId="2425"/>
    <cellStyle name="Обычный 10 11" xfId="107"/>
    <cellStyle name="Обычный 10 11 2" xfId="2426"/>
    <cellStyle name="Обычный 10 11 2 2" xfId="5973"/>
    <cellStyle name="Обычный 10 11 3" xfId="2427"/>
    <cellStyle name="Обычный 10 12" xfId="108"/>
    <cellStyle name="Обычный 10 12 2" xfId="2428"/>
    <cellStyle name="Обычный 10 12 2 2" xfId="5974"/>
    <cellStyle name="Обычный 10 12 3" xfId="2429"/>
    <cellStyle name="Обычный 10 13" xfId="109"/>
    <cellStyle name="Обычный 10 13 2" xfId="2430"/>
    <cellStyle name="Обычный 10 13 2 2" xfId="5975"/>
    <cellStyle name="Обычный 10 13 3" xfId="2431"/>
    <cellStyle name="Обычный 10 14" xfId="110"/>
    <cellStyle name="Обычный 10 14 2" xfId="2432"/>
    <cellStyle name="Обычный 10 14 2 2" xfId="5976"/>
    <cellStyle name="Обычный 10 14 3" xfId="2433"/>
    <cellStyle name="Обычный 10 15" xfId="2069"/>
    <cellStyle name="Обычный 10 2" xfId="111"/>
    <cellStyle name="Обычный 10 2 10" xfId="2070"/>
    <cellStyle name="Обычный 10 2 10 2" xfId="2434"/>
    <cellStyle name="Обычный 10 2 11" xfId="2435"/>
    <cellStyle name="Обычный 10 2 12" xfId="5977"/>
    <cellStyle name="Обычный 10 2 2" xfId="112"/>
    <cellStyle name="Обычный 10 2 2 2" xfId="113"/>
    <cellStyle name="Обычный 10 2 2 2 2" xfId="114"/>
    <cellStyle name="Обычный 10 2 2 2 2 2" xfId="115"/>
    <cellStyle name="Обычный 10 2 2 2 2 2 2" xfId="2436"/>
    <cellStyle name="Обычный 10 2 2 2 2 2 2 2" xfId="5978"/>
    <cellStyle name="Обычный 10 2 2 2 2 2 3" xfId="2437"/>
    <cellStyle name="Обычный 10 2 2 2 2 3" xfId="2438"/>
    <cellStyle name="Обычный 10 2 2 2 2 3 2" xfId="5979"/>
    <cellStyle name="Обычный 10 2 2 2 2 4" xfId="2439"/>
    <cellStyle name="Обычный 10 2 2 2 3" xfId="116"/>
    <cellStyle name="Обычный 10 2 2 2 3 2" xfId="2440"/>
    <cellStyle name="Обычный 10 2 2 2 3 2 2" xfId="5980"/>
    <cellStyle name="Обычный 10 2 2 2 3 3" xfId="2441"/>
    <cellStyle name="Обычный 10 2 2 2 4" xfId="117"/>
    <cellStyle name="Обычный 10 2 2 2 4 2" xfId="2442"/>
    <cellStyle name="Обычный 10 2 2 2 4 2 2" xfId="5981"/>
    <cellStyle name="Обычный 10 2 2 2 4 3" xfId="2443"/>
    <cellStyle name="Обычный 10 2 2 2 5" xfId="118"/>
    <cellStyle name="Обычный 10 2 2 2 5 2" xfId="2444"/>
    <cellStyle name="Обычный 10 2 2 2 5 2 2" xfId="5982"/>
    <cellStyle name="Обычный 10 2 2 2 5 3" xfId="2445"/>
    <cellStyle name="Обычный 10 2 2 2 6" xfId="2071"/>
    <cellStyle name="Обычный 10 2 2 2 6 2" xfId="2446"/>
    <cellStyle name="Обычный 10 2 2 2 7" xfId="2447"/>
    <cellStyle name="Обычный 10 2 2 2 8" xfId="5983"/>
    <cellStyle name="Обычный 10 2 2 3" xfId="119"/>
    <cellStyle name="Обычный 10 2 2 3 2" xfId="120"/>
    <cellStyle name="Обычный 10 2 2 3 2 2" xfId="2448"/>
    <cellStyle name="Обычный 10 2 2 3 2 2 2" xfId="5984"/>
    <cellStyle name="Обычный 10 2 2 3 2 3" xfId="2449"/>
    <cellStyle name="Обычный 10 2 2 3 3" xfId="2450"/>
    <cellStyle name="Обычный 10 2 2 3 3 2" xfId="5985"/>
    <cellStyle name="Обычный 10 2 2 3 4" xfId="2451"/>
    <cellStyle name="Обычный 10 2 2 4" xfId="121"/>
    <cellStyle name="Обычный 10 2 2 4 2" xfId="2452"/>
    <cellStyle name="Обычный 10 2 2 4 2 2" xfId="5986"/>
    <cellStyle name="Обычный 10 2 2 4 3" xfId="2453"/>
    <cellStyle name="Обычный 10 2 2 5" xfId="122"/>
    <cellStyle name="Обычный 10 2 2 5 2" xfId="2454"/>
    <cellStyle name="Обычный 10 2 2 5 2 2" xfId="5987"/>
    <cellStyle name="Обычный 10 2 2 5 3" xfId="2455"/>
    <cellStyle name="Обычный 10 2 2 6" xfId="123"/>
    <cellStyle name="Обычный 10 2 2 6 2" xfId="2456"/>
    <cellStyle name="Обычный 10 2 2 6 2 2" xfId="5988"/>
    <cellStyle name="Обычный 10 2 2 6 3" xfId="2457"/>
    <cellStyle name="Обычный 10 2 2 7" xfId="2072"/>
    <cellStyle name="Обычный 10 2 2 7 2" xfId="2458"/>
    <cellStyle name="Обычный 10 2 2 8" xfId="2459"/>
    <cellStyle name="Обычный 10 2 2 9" xfId="5989"/>
    <cellStyle name="Обычный 10 2 2_Расчет скв 3П Яснополянской  БУ румынский  без ВСП от 09082019" xfId="1964"/>
    <cellStyle name="Обычный 10 2 3" xfId="124"/>
    <cellStyle name="Обычный 10 2 3 2" xfId="125"/>
    <cellStyle name="Обычный 10 2 3 2 2" xfId="126"/>
    <cellStyle name="Обычный 10 2 3 2 2 2" xfId="2460"/>
    <cellStyle name="Обычный 10 2 3 2 2 2 2" xfId="5990"/>
    <cellStyle name="Обычный 10 2 3 2 2 3" xfId="2461"/>
    <cellStyle name="Обычный 10 2 3 2 3" xfId="2462"/>
    <cellStyle name="Обычный 10 2 3 2 3 2" xfId="5991"/>
    <cellStyle name="Обычный 10 2 3 2 4" xfId="2463"/>
    <cellStyle name="Обычный 10 2 3 3" xfId="127"/>
    <cellStyle name="Обычный 10 2 3 3 2" xfId="2464"/>
    <cellStyle name="Обычный 10 2 3 3 2 2" xfId="5992"/>
    <cellStyle name="Обычный 10 2 3 3 3" xfId="2465"/>
    <cellStyle name="Обычный 10 2 3 4" xfId="128"/>
    <cellStyle name="Обычный 10 2 3 4 2" xfId="2466"/>
    <cellStyle name="Обычный 10 2 3 4 2 2" xfId="5993"/>
    <cellStyle name="Обычный 10 2 3 4 3" xfId="2467"/>
    <cellStyle name="Обычный 10 2 3 5" xfId="129"/>
    <cellStyle name="Обычный 10 2 3 5 2" xfId="2468"/>
    <cellStyle name="Обычный 10 2 3 5 2 2" xfId="5994"/>
    <cellStyle name="Обычный 10 2 3 5 3" xfId="2469"/>
    <cellStyle name="Обычный 10 2 3 6" xfId="2073"/>
    <cellStyle name="Обычный 10 2 3 6 2" xfId="2470"/>
    <cellStyle name="Обычный 10 2 3 7" xfId="2471"/>
    <cellStyle name="Обычный 10 2 3 8" xfId="5995"/>
    <cellStyle name="Обычный 10 2 4" xfId="130"/>
    <cellStyle name="Обычный 10 2 4 2" xfId="131"/>
    <cellStyle name="Обычный 10 2 4 2 2" xfId="132"/>
    <cellStyle name="Обычный 10 2 4 2 2 2" xfId="2472"/>
    <cellStyle name="Обычный 10 2 4 2 2 2 2" xfId="5996"/>
    <cellStyle name="Обычный 10 2 4 2 2 3" xfId="2473"/>
    <cellStyle name="Обычный 10 2 4 2 3" xfId="2474"/>
    <cellStyle name="Обычный 10 2 4 2 3 2" xfId="5997"/>
    <cellStyle name="Обычный 10 2 4 2 4" xfId="2475"/>
    <cellStyle name="Обычный 10 2 4 3" xfId="133"/>
    <cellStyle name="Обычный 10 2 4 3 2" xfId="2476"/>
    <cellStyle name="Обычный 10 2 4 3 2 2" xfId="5998"/>
    <cellStyle name="Обычный 10 2 4 3 3" xfId="2477"/>
    <cellStyle name="Обычный 10 2 4 4" xfId="134"/>
    <cellStyle name="Обычный 10 2 4 4 2" xfId="2478"/>
    <cellStyle name="Обычный 10 2 4 4 2 2" xfId="5999"/>
    <cellStyle name="Обычный 10 2 4 4 3" xfId="2479"/>
    <cellStyle name="Обычный 10 2 4 5" xfId="135"/>
    <cellStyle name="Обычный 10 2 4 5 2" xfId="2480"/>
    <cellStyle name="Обычный 10 2 4 5 2 2" xfId="6000"/>
    <cellStyle name="Обычный 10 2 4 5 3" xfId="2481"/>
    <cellStyle name="Обычный 10 2 4 6" xfId="2074"/>
    <cellStyle name="Обычный 10 2 4 6 2" xfId="2482"/>
    <cellStyle name="Обычный 10 2 4 7" xfId="2483"/>
    <cellStyle name="Обычный 10 2 4 8" xfId="6001"/>
    <cellStyle name="Обычный 10 2 5" xfId="136"/>
    <cellStyle name="Обычный 10 2 5 2" xfId="137"/>
    <cellStyle name="Обычный 10 2 5 2 2" xfId="138"/>
    <cellStyle name="Обычный 10 2 5 2 2 2" xfId="2484"/>
    <cellStyle name="Обычный 10 2 5 2 2 2 2" xfId="6002"/>
    <cellStyle name="Обычный 10 2 5 2 2 3" xfId="2485"/>
    <cellStyle name="Обычный 10 2 5 2 3" xfId="2486"/>
    <cellStyle name="Обычный 10 2 5 2 3 2" xfId="6003"/>
    <cellStyle name="Обычный 10 2 5 2 4" xfId="2487"/>
    <cellStyle name="Обычный 10 2 5 3" xfId="139"/>
    <cellStyle name="Обычный 10 2 5 3 2" xfId="2488"/>
    <cellStyle name="Обычный 10 2 5 3 2 2" xfId="6004"/>
    <cellStyle name="Обычный 10 2 5 3 3" xfId="2489"/>
    <cellStyle name="Обычный 10 2 5 4" xfId="140"/>
    <cellStyle name="Обычный 10 2 5 4 2" xfId="2490"/>
    <cellStyle name="Обычный 10 2 5 4 2 2" xfId="6005"/>
    <cellStyle name="Обычный 10 2 5 4 3" xfId="2491"/>
    <cellStyle name="Обычный 10 2 5 5" xfId="141"/>
    <cellStyle name="Обычный 10 2 5 5 2" xfId="2492"/>
    <cellStyle name="Обычный 10 2 5 5 2 2" xfId="6006"/>
    <cellStyle name="Обычный 10 2 5 5 3" xfId="2493"/>
    <cellStyle name="Обычный 10 2 5 6" xfId="2075"/>
    <cellStyle name="Обычный 10 2 5 6 2" xfId="2494"/>
    <cellStyle name="Обычный 10 2 5 7" xfId="2495"/>
    <cellStyle name="Обычный 10 2 5 8" xfId="6007"/>
    <cellStyle name="Обычный 10 2 6" xfId="142"/>
    <cellStyle name="Обычный 10 2 6 2" xfId="143"/>
    <cellStyle name="Обычный 10 2 6 2 2" xfId="2496"/>
    <cellStyle name="Обычный 10 2 6 2 2 2" xfId="6008"/>
    <cellStyle name="Обычный 10 2 6 2 3" xfId="2497"/>
    <cellStyle name="Обычный 10 2 6 3" xfId="2498"/>
    <cellStyle name="Обычный 10 2 6 3 2" xfId="6009"/>
    <cellStyle name="Обычный 10 2 6 4" xfId="2499"/>
    <cellStyle name="Обычный 10 2 7" xfId="144"/>
    <cellStyle name="Обычный 10 2 7 2" xfId="2500"/>
    <cellStyle name="Обычный 10 2 7 2 2" xfId="6010"/>
    <cellStyle name="Обычный 10 2 7 3" xfId="2501"/>
    <cellStyle name="Обычный 10 2 8" xfId="145"/>
    <cellStyle name="Обычный 10 2 8 2" xfId="2502"/>
    <cellStyle name="Обычный 10 2 8 2 2" xfId="6011"/>
    <cellStyle name="Обычный 10 2 8 3" xfId="2503"/>
    <cellStyle name="Обычный 10 2 9" xfId="146"/>
    <cellStyle name="Обычный 10 2 9 2" xfId="2504"/>
    <cellStyle name="Обычный 10 2 9 2 2" xfId="6012"/>
    <cellStyle name="Обычный 10 2 9 3" xfId="2505"/>
    <cellStyle name="Обычный 10 2_Расчет скв 3П Яснополянской  БУ румынский  без ВСП от 09082019" xfId="1965"/>
    <cellStyle name="Обычный 10 3" xfId="147"/>
    <cellStyle name="Обычный 10 3 10" xfId="2076"/>
    <cellStyle name="Обычный 10 3 10 2" xfId="2506"/>
    <cellStyle name="Обычный 10 3 11" xfId="2507"/>
    <cellStyle name="Обычный 10 3 12" xfId="6013"/>
    <cellStyle name="Обычный 10 3 2" xfId="148"/>
    <cellStyle name="Обычный 10 3 2 2" xfId="149"/>
    <cellStyle name="Обычный 10 3 2 2 2" xfId="150"/>
    <cellStyle name="Обычный 10 3 2 2 2 2" xfId="151"/>
    <cellStyle name="Обычный 10 3 2 2 2 2 2" xfId="2508"/>
    <cellStyle name="Обычный 10 3 2 2 2 2 2 2" xfId="6014"/>
    <cellStyle name="Обычный 10 3 2 2 2 2 3" xfId="2509"/>
    <cellStyle name="Обычный 10 3 2 2 2 3" xfId="2510"/>
    <cellStyle name="Обычный 10 3 2 2 2 3 2" xfId="6015"/>
    <cellStyle name="Обычный 10 3 2 2 2 4" xfId="2511"/>
    <cellStyle name="Обычный 10 3 2 2 3" xfId="152"/>
    <cellStyle name="Обычный 10 3 2 2 3 2" xfId="2512"/>
    <cellStyle name="Обычный 10 3 2 2 3 2 2" xfId="6016"/>
    <cellStyle name="Обычный 10 3 2 2 3 3" xfId="2513"/>
    <cellStyle name="Обычный 10 3 2 2 4" xfId="153"/>
    <cellStyle name="Обычный 10 3 2 2 4 2" xfId="2514"/>
    <cellStyle name="Обычный 10 3 2 2 4 2 2" xfId="6017"/>
    <cellStyle name="Обычный 10 3 2 2 4 3" xfId="2515"/>
    <cellStyle name="Обычный 10 3 2 2 5" xfId="154"/>
    <cellStyle name="Обычный 10 3 2 2 5 2" xfId="2516"/>
    <cellStyle name="Обычный 10 3 2 2 5 2 2" xfId="6018"/>
    <cellStyle name="Обычный 10 3 2 2 5 3" xfId="2517"/>
    <cellStyle name="Обычный 10 3 2 2 6" xfId="2077"/>
    <cellStyle name="Обычный 10 3 2 2 6 2" xfId="2518"/>
    <cellStyle name="Обычный 10 3 2 2 7" xfId="2519"/>
    <cellStyle name="Обычный 10 3 2 2 8" xfId="6019"/>
    <cellStyle name="Обычный 10 3 2 3" xfId="155"/>
    <cellStyle name="Обычный 10 3 2 3 2" xfId="156"/>
    <cellStyle name="Обычный 10 3 2 3 2 2" xfId="2520"/>
    <cellStyle name="Обычный 10 3 2 3 2 2 2" xfId="6020"/>
    <cellStyle name="Обычный 10 3 2 3 2 3" xfId="2521"/>
    <cellStyle name="Обычный 10 3 2 3 3" xfId="2522"/>
    <cellStyle name="Обычный 10 3 2 3 3 2" xfId="6021"/>
    <cellStyle name="Обычный 10 3 2 3 4" xfId="2523"/>
    <cellStyle name="Обычный 10 3 2 4" xfId="157"/>
    <cellStyle name="Обычный 10 3 2 4 2" xfId="2524"/>
    <cellStyle name="Обычный 10 3 2 4 2 2" xfId="6022"/>
    <cellStyle name="Обычный 10 3 2 4 3" xfId="2525"/>
    <cellStyle name="Обычный 10 3 2 5" xfId="158"/>
    <cellStyle name="Обычный 10 3 2 5 2" xfId="2526"/>
    <cellStyle name="Обычный 10 3 2 5 2 2" xfId="6023"/>
    <cellStyle name="Обычный 10 3 2 5 3" xfId="2527"/>
    <cellStyle name="Обычный 10 3 2 6" xfId="159"/>
    <cellStyle name="Обычный 10 3 2 6 2" xfId="2528"/>
    <cellStyle name="Обычный 10 3 2 6 2 2" xfId="6024"/>
    <cellStyle name="Обычный 10 3 2 6 3" xfId="2529"/>
    <cellStyle name="Обычный 10 3 2 7" xfId="2078"/>
    <cellStyle name="Обычный 10 3 2 7 2" xfId="2530"/>
    <cellStyle name="Обычный 10 3 2 8" xfId="2531"/>
    <cellStyle name="Обычный 10 3 2 9" xfId="6025"/>
    <cellStyle name="Обычный 10 3 2_Расчет скв 3П Яснополянской  БУ румынский  без ВСП от 09082019" xfId="1966"/>
    <cellStyle name="Обычный 10 3 3" xfId="160"/>
    <cellStyle name="Обычный 10 3 3 2" xfId="161"/>
    <cellStyle name="Обычный 10 3 3 2 2" xfId="162"/>
    <cellStyle name="Обычный 10 3 3 2 2 2" xfId="2532"/>
    <cellStyle name="Обычный 10 3 3 2 2 2 2" xfId="6026"/>
    <cellStyle name="Обычный 10 3 3 2 2 3" xfId="2533"/>
    <cellStyle name="Обычный 10 3 3 2 3" xfId="2534"/>
    <cellStyle name="Обычный 10 3 3 2 3 2" xfId="6027"/>
    <cellStyle name="Обычный 10 3 3 2 4" xfId="2535"/>
    <cellStyle name="Обычный 10 3 3 3" xfId="163"/>
    <cellStyle name="Обычный 10 3 3 3 2" xfId="2536"/>
    <cellStyle name="Обычный 10 3 3 3 2 2" xfId="6028"/>
    <cellStyle name="Обычный 10 3 3 3 3" xfId="2537"/>
    <cellStyle name="Обычный 10 3 3 4" xfId="164"/>
    <cellStyle name="Обычный 10 3 3 4 2" xfId="2538"/>
    <cellStyle name="Обычный 10 3 3 4 2 2" xfId="6029"/>
    <cellStyle name="Обычный 10 3 3 4 3" xfId="2539"/>
    <cellStyle name="Обычный 10 3 3 5" xfId="165"/>
    <cellStyle name="Обычный 10 3 3 5 2" xfId="2540"/>
    <cellStyle name="Обычный 10 3 3 5 2 2" xfId="6030"/>
    <cellStyle name="Обычный 10 3 3 5 3" xfId="2541"/>
    <cellStyle name="Обычный 10 3 3 6" xfId="2079"/>
    <cellStyle name="Обычный 10 3 3 6 2" xfId="2542"/>
    <cellStyle name="Обычный 10 3 3 7" xfId="2543"/>
    <cellStyle name="Обычный 10 3 3 8" xfId="6031"/>
    <cellStyle name="Обычный 10 3 4" xfId="166"/>
    <cellStyle name="Обычный 10 3 4 2" xfId="167"/>
    <cellStyle name="Обычный 10 3 4 2 2" xfId="168"/>
    <cellStyle name="Обычный 10 3 4 2 2 2" xfId="2544"/>
    <cellStyle name="Обычный 10 3 4 2 2 2 2" xfId="6032"/>
    <cellStyle name="Обычный 10 3 4 2 2 3" xfId="2545"/>
    <cellStyle name="Обычный 10 3 4 2 3" xfId="2546"/>
    <cellStyle name="Обычный 10 3 4 2 3 2" xfId="6033"/>
    <cellStyle name="Обычный 10 3 4 2 4" xfId="2547"/>
    <cellStyle name="Обычный 10 3 4 3" xfId="169"/>
    <cellStyle name="Обычный 10 3 4 3 2" xfId="2548"/>
    <cellStyle name="Обычный 10 3 4 3 2 2" xfId="6034"/>
    <cellStyle name="Обычный 10 3 4 3 3" xfId="2549"/>
    <cellStyle name="Обычный 10 3 4 4" xfId="170"/>
    <cellStyle name="Обычный 10 3 4 4 2" xfId="2550"/>
    <cellStyle name="Обычный 10 3 4 4 2 2" xfId="6035"/>
    <cellStyle name="Обычный 10 3 4 4 3" xfId="2551"/>
    <cellStyle name="Обычный 10 3 4 5" xfId="171"/>
    <cellStyle name="Обычный 10 3 4 5 2" xfId="2552"/>
    <cellStyle name="Обычный 10 3 4 5 2 2" xfId="6036"/>
    <cellStyle name="Обычный 10 3 4 5 3" xfId="2553"/>
    <cellStyle name="Обычный 10 3 4 6" xfId="2080"/>
    <cellStyle name="Обычный 10 3 4 6 2" xfId="2554"/>
    <cellStyle name="Обычный 10 3 4 7" xfId="2555"/>
    <cellStyle name="Обычный 10 3 4 8" xfId="6037"/>
    <cellStyle name="Обычный 10 3 5" xfId="172"/>
    <cellStyle name="Обычный 10 3 5 2" xfId="173"/>
    <cellStyle name="Обычный 10 3 5 2 2" xfId="174"/>
    <cellStyle name="Обычный 10 3 5 2 2 2" xfId="2556"/>
    <cellStyle name="Обычный 10 3 5 2 2 2 2" xfId="6038"/>
    <cellStyle name="Обычный 10 3 5 2 2 3" xfId="2557"/>
    <cellStyle name="Обычный 10 3 5 2 3" xfId="2558"/>
    <cellStyle name="Обычный 10 3 5 2 3 2" xfId="6039"/>
    <cellStyle name="Обычный 10 3 5 2 4" xfId="2559"/>
    <cellStyle name="Обычный 10 3 5 3" xfId="175"/>
    <cellStyle name="Обычный 10 3 5 3 2" xfId="2560"/>
    <cellStyle name="Обычный 10 3 5 3 2 2" xfId="6040"/>
    <cellStyle name="Обычный 10 3 5 3 3" xfId="2561"/>
    <cellStyle name="Обычный 10 3 5 4" xfId="176"/>
    <cellStyle name="Обычный 10 3 5 4 2" xfId="2562"/>
    <cellStyle name="Обычный 10 3 5 4 2 2" xfId="6041"/>
    <cellStyle name="Обычный 10 3 5 4 3" xfId="2563"/>
    <cellStyle name="Обычный 10 3 5 5" xfId="177"/>
    <cellStyle name="Обычный 10 3 5 5 2" xfId="2564"/>
    <cellStyle name="Обычный 10 3 5 5 2 2" xfId="6042"/>
    <cellStyle name="Обычный 10 3 5 5 3" xfId="2565"/>
    <cellStyle name="Обычный 10 3 5 6" xfId="2081"/>
    <cellStyle name="Обычный 10 3 5 6 2" xfId="2566"/>
    <cellStyle name="Обычный 10 3 5 7" xfId="2567"/>
    <cellStyle name="Обычный 10 3 5 8" xfId="6043"/>
    <cellStyle name="Обычный 10 3 6" xfId="178"/>
    <cellStyle name="Обычный 10 3 6 2" xfId="179"/>
    <cellStyle name="Обычный 10 3 6 2 2" xfId="2568"/>
    <cellStyle name="Обычный 10 3 6 2 2 2" xfId="6044"/>
    <cellStyle name="Обычный 10 3 6 2 3" xfId="2569"/>
    <cellStyle name="Обычный 10 3 6 3" xfId="2570"/>
    <cellStyle name="Обычный 10 3 6 3 2" xfId="6045"/>
    <cellStyle name="Обычный 10 3 6 4" xfId="2571"/>
    <cellStyle name="Обычный 10 3 7" xfId="180"/>
    <cellStyle name="Обычный 10 3 7 2" xfId="2572"/>
    <cellStyle name="Обычный 10 3 7 2 2" xfId="6046"/>
    <cellStyle name="Обычный 10 3 7 3" xfId="2573"/>
    <cellStyle name="Обычный 10 3 8" xfId="181"/>
    <cellStyle name="Обычный 10 3 8 2" xfId="2574"/>
    <cellStyle name="Обычный 10 3 8 2 2" xfId="6047"/>
    <cellStyle name="Обычный 10 3 8 3" xfId="2575"/>
    <cellStyle name="Обычный 10 3 9" xfId="182"/>
    <cellStyle name="Обычный 10 3 9 2" xfId="2576"/>
    <cellStyle name="Обычный 10 3 9 2 2" xfId="6048"/>
    <cellStyle name="Обычный 10 3 9 3" xfId="2577"/>
    <cellStyle name="Обычный 10 3_Расчет скв 3П Яснополянской  БУ румынский  без ВСП от 09082019" xfId="1967"/>
    <cellStyle name="Обычный 10 4" xfId="183"/>
    <cellStyle name="Обычный 10 4 10" xfId="2082"/>
    <cellStyle name="Обычный 10 4 10 2" xfId="2578"/>
    <cellStyle name="Обычный 10 4 11" xfId="2579"/>
    <cellStyle name="Обычный 10 4 12" xfId="6049"/>
    <cellStyle name="Обычный 10 4 2" xfId="184"/>
    <cellStyle name="Обычный 10 4 2 2" xfId="185"/>
    <cellStyle name="Обычный 10 4 2 2 2" xfId="186"/>
    <cellStyle name="Обычный 10 4 2 2 2 2" xfId="187"/>
    <cellStyle name="Обычный 10 4 2 2 2 2 2" xfId="2580"/>
    <cellStyle name="Обычный 10 4 2 2 2 2 2 2" xfId="6050"/>
    <cellStyle name="Обычный 10 4 2 2 2 2 3" xfId="2581"/>
    <cellStyle name="Обычный 10 4 2 2 2 3" xfId="2582"/>
    <cellStyle name="Обычный 10 4 2 2 2 3 2" xfId="6051"/>
    <cellStyle name="Обычный 10 4 2 2 2 4" xfId="2583"/>
    <cellStyle name="Обычный 10 4 2 2 3" xfId="188"/>
    <cellStyle name="Обычный 10 4 2 2 3 2" xfId="2584"/>
    <cellStyle name="Обычный 10 4 2 2 3 2 2" xfId="6052"/>
    <cellStyle name="Обычный 10 4 2 2 3 3" xfId="2585"/>
    <cellStyle name="Обычный 10 4 2 2 4" xfId="189"/>
    <cellStyle name="Обычный 10 4 2 2 4 2" xfId="2586"/>
    <cellStyle name="Обычный 10 4 2 2 4 2 2" xfId="6053"/>
    <cellStyle name="Обычный 10 4 2 2 4 3" xfId="2587"/>
    <cellStyle name="Обычный 10 4 2 2 5" xfId="190"/>
    <cellStyle name="Обычный 10 4 2 2 5 2" xfId="2588"/>
    <cellStyle name="Обычный 10 4 2 2 5 2 2" xfId="6054"/>
    <cellStyle name="Обычный 10 4 2 2 5 3" xfId="2589"/>
    <cellStyle name="Обычный 10 4 2 2 6" xfId="2083"/>
    <cellStyle name="Обычный 10 4 2 2 6 2" xfId="2590"/>
    <cellStyle name="Обычный 10 4 2 2 7" xfId="2591"/>
    <cellStyle name="Обычный 10 4 2 2 8" xfId="6055"/>
    <cellStyle name="Обычный 10 4 2 3" xfId="191"/>
    <cellStyle name="Обычный 10 4 2 3 2" xfId="192"/>
    <cellStyle name="Обычный 10 4 2 3 2 2" xfId="2592"/>
    <cellStyle name="Обычный 10 4 2 3 2 2 2" xfId="6056"/>
    <cellStyle name="Обычный 10 4 2 3 2 3" xfId="2593"/>
    <cellStyle name="Обычный 10 4 2 3 3" xfId="2594"/>
    <cellStyle name="Обычный 10 4 2 3 3 2" xfId="6057"/>
    <cellStyle name="Обычный 10 4 2 3 4" xfId="2595"/>
    <cellStyle name="Обычный 10 4 2 4" xfId="193"/>
    <cellStyle name="Обычный 10 4 2 4 2" xfId="2596"/>
    <cellStyle name="Обычный 10 4 2 4 2 2" xfId="6058"/>
    <cellStyle name="Обычный 10 4 2 4 3" xfId="2597"/>
    <cellStyle name="Обычный 10 4 2 5" xfId="194"/>
    <cellStyle name="Обычный 10 4 2 5 2" xfId="2598"/>
    <cellStyle name="Обычный 10 4 2 5 2 2" xfId="6059"/>
    <cellStyle name="Обычный 10 4 2 5 3" xfId="2599"/>
    <cellStyle name="Обычный 10 4 2 6" xfId="195"/>
    <cellStyle name="Обычный 10 4 2 6 2" xfId="2600"/>
    <cellStyle name="Обычный 10 4 2 6 2 2" xfId="6060"/>
    <cellStyle name="Обычный 10 4 2 6 3" xfId="2601"/>
    <cellStyle name="Обычный 10 4 2 7" xfId="2084"/>
    <cellStyle name="Обычный 10 4 2 7 2" xfId="2602"/>
    <cellStyle name="Обычный 10 4 2 8" xfId="2603"/>
    <cellStyle name="Обычный 10 4 2 9" xfId="6061"/>
    <cellStyle name="Обычный 10 4 2_Расчет скв 3П Яснополянской  БУ румынский  без ВСП от 09082019" xfId="1968"/>
    <cellStyle name="Обычный 10 4 3" xfId="196"/>
    <cellStyle name="Обычный 10 4 3 2" xfId="197"/>
    <cellStyle name="Обычный 10 4 3 2 2" xfId="198"/>
    <cellStyle name="Обычный 10 4 3 2 2 2" xfId="2604"/>
    <cellStyle name="Обычный 10 4 3 2 2 2 2" xfId="6062"/>
    <cellStyle name="Обычный 10 4 3 2 2 3" xfId="2605"/>
    <cellStyle name="Обычный 10 4 3 2 3" xfId="2606"/>
    <cellStyle name="Обычный 10 4 3 2 3 2" xfId="6063"/>
    <cellStyle name="Обычный 10 4 3 2 4" xfId="2607"/>
    <cellStyle name="Обычный 10 4 3 3" xfId="199"/>
    <cellStyle name="Обычный 10 4 3 3 2" xfId="2608"/>
    <cellStyle name="Обычный 10 4 3 3 2 2" xfId="6064"/>
    <cellStyle name="Обычный 10 4 3 3 3" xfId="2609"/>
    <cellStyle name="Обычный 10 4 3 4" xfId="200"/>
    <cellStyle name="Обычный 10 4 3 4 2" xfId="2610"/>
    <cellStyle name="Обычный 10 4 3 4 2 2" xfId="6065"/>
    <cellStyle name="Обычный 10 4 3 4 3" xfId="2611"/>
    <cellStyle name="Обычный 10 4 3 5" xfId="201"/>
    <cellStyle name="Обычный 10 4 3 5 2" xfId="2612"/>
    <cellStyle name="Обычный 10 4 3 5 2 2" xfId="6066"/>
    <cellStyle name="Обычный 10 4 3 5 3" xfId="2613"/>
    <cellStyle name="Обычный 10 4 3 6" xfId="2085"/>
    <cellStyle name="Обычный 10 4 3 6 2" xfId="2614"/>
    <cellStyle name="Обычный 10 4 3 7" xfId="2615"/>
    <cellStyle name="Обычный 10 4 3 8" xfId="6067"/>
    <cellStyle name="Обычный 10 4 4" xfId="202"/>
    <cellStyle name="Обычный 10 4 4 2" xfId="203"/>
    <cellStyle name="Обычный 10 4 4 2 2" xfId="204"/>
    <cellStyle name="Обычный 10 4 4 2 2 2" xfId="2616"/>
    <cellStyle name="Обычный 10 4 4 2 2 2 2" xfId="6068"/>
    <cellStyle name="Обычный 10 4 4 2 2 3" xfId="2617"/>
    <cellStyle name="Обычный 10 4 4 2 3" xfId="2618"/>
    <cellStyle name="Обычный 10 4 4 2 3 2" xfId="6069"/>
    <cellStyle name="Обычный 10 4 4 2 4" xfId="2619"/>
    <cellStyle name="Обычный 10 4 4 3" xfId="205"/>
    <cellStyle name="Обычный 10 4 4 3 2" xfId="2620"/>
    <cellStyle name="Обычный 10 4 4 3 2 2" xfId="6070"/>
    <cellStyle name="Обычный 10 4 4 3 3" xfId="2621"/>
    <cellStyle name="Обычный 10 4 4 4" xfId="206"/>
    <cellStyle name="Обычный 10 4 4 4 2" xfId="2622"/>
    <cellStyle name="Обычный 10 4 4 4 2 2" xfId="6071"/>
    <cellStyle name="Обычный 10 4 4 4 3" xfId="2623"/>
    <cellStyle name="Обычный 10 4 4 5" xfId="207"/>
    <cellStyle name="Обычный 10 4 4 5 2" xfId="2624"/>
    <cellStyle name="Обычный 10 4 4 5 2 2" xfId="6072"/>
    <cellStyle name="Обычный 10 4 4 5 3" xfId="2625"/>
    <cellStyle name="Обычный 10 4 4 6" xfId="2086"/>
    <cellStyle name="Обычный 10 4 4 6 2" xfId="2626"/>
    <cellStyle name="Обычный 10 4 4 7" xfId="2627"/>
    <cellStyle name="Обычный 10 4 4 8" xfId="6073"/>
    <cellStyle name="Обычный 10 4 5" xfId="208"/>
    <cellStyle name="Обычный 10 4 5 2" xfId="209"/>
    <cellStyle name="Обычный 10 4 5 2 2" xfId="210"/>
    <cellStyle name="Обычный 10 4 5 2 2 2" xfId="2628"/>
    <cellStyle name="Обычный 10 4 5 2 2 2 2" xfId="6074"/>
    <cellStyle name="Обычный 10 4 5 2 2 3" xfId="2629"/>
    <cellStyle name="Обычный 10 4 5 2 3" xfId="2630"/>
    <cellStyle name="Обычный 10 4 5 2 3 2" xfId="6075"/>
    <cellStyle name="Обычный 10 4 5 2 4" xfId="2631"/>
    <cellStyle name="Обычный 10 4 5 3" xfId="211"/>
    <cellStyle name="Обычный 10 4 5 3 2" xfId="2632"/>
    <cellStyle name="Обычный 10 4 5 3 2 2" xfId="6076"/>
    <cellStyle name="Обычный 10 4 5 3 3" xfId="2633"/>
    <cellStyle name="Обычный 10 4 5 4" xfId="212"/>
    <cellStyle name="Обычный 10 4 5 4 2" xfId="2634"/>
    <cellStyle name="Обычный 10 4 5 4 2 2" xfId="6077"/>
    <cellStyle name="Обычный 10 4 5 4 3" xfId="2635"/>
    <cellStyle name="Обычный 10 4 5 5" xfId="213"/>
    <cellStyle name="Обычный 10 4 5 5 2" xfId="2636"/>
    <cellStyle name="Обычный 10 4 5 5 2 2" xfId="6078"/>
    <cellStyle name="Обычный 10 4 5 5 3" xfId="2637"/>
    <cellStyle name="Обычный 10 4 5 6" xfId="2087"/>
    <cellStyle name="Обычный 10 4 5 6 2" xfId="2638"/>
    <cellStyle name="Обычный 10 4 5 7" xfId="2639"/>
    <cellStyle name="Обычный 10 4 5 8" xfId="6079"/>
    <cellStyle name="Обычный 10 4 6" xfId="214"/>
    <cellStyle name="Обычный 10 4 6 2" xfId="215"/>
    <cellStyle name="Обычный 10 4 6 2 2" xfId="2640"/>
    <cellStyle name="Обычный 10 4 6 2 2 2" xfId="6080"/>
    <cellStyle name="Обычный 10 4 6 2 3" xfId="2641"/>
    <cellStyle name="Обычный 10 4 6 3" xfId="2642"/>
    <cellStyle name="Обычный 10 4 6 3 2" xfId="6081"/>
    <cellStyle name="Обычный 10 4 6 4" xfId="2643"/>
    <cellStyle name="Обычный 10 4 7" xfId="216"/>
    <cellStyle name="Обычный 10 4 7 2" xfId="2644"/>
    <cellStyle name="Обычный 10 4 7 2 2" xfId="6082"/>
    <cellStyle name="Обычный 10 4 7 3" xfId="2645"/>
    <cellStyle name="Обычный 10 4 8" xfId="217"/>
    <cellStyle name="Обычный 10 4 8 2" xfId="2646"/>
    <cellStyle name="Обычный 10 4 8 2 2" xfId="6083"/>
    <cellStyle name="Обычный 10 4 8 3" xfId="2647"/>
    <cellStyle name="Обычный 10 4 9" xfId="218"/>
    <cellStyle name="Обычный 10 4 9 2" xfId="2648"/>
    <cellStyle name="Обычный 10 4 9 2 2" xfId="6084"/>
    <cellStyle name="Обычный 10 4 9 3" xfId="2649"/>
    <cellStyle name="Обычный 10 4_Расчет скв 3П Яснополянской  БУ румынский  без ВСП от 09082019" xfId="1969"/>
    <cellStyle name="Обычный 10 5" xfId="219"/>
    <cellStyle name="Обычный 10 6" xfId="220"/>
    <cellStyle name="Обычный 10 6 2" xfId="221"/>
    <cellStyle name="Обычный 10 6 2 2" xfId="222"/>
    <cellStyle name="Обычный 10 6 2 2 2" xfId="223"/>
    <cellStyle name="Обычный 10 6 2 2 2 2" xfId="2650"/>
    <cellStyle name="Обычный 10 6 2 2 2 2 2" xfId="6085"/>
    <cellStyle name="Обычный 10 6 2 2 2 3" xfId="2651"/>
    <cellStyle name="Обычный 10 6 2 2 3" xfId="2652"/>
    <cellStyle name="Обычный 10 6 2 2 3 2" xfId="6086"/>
    <cellStyle name="Обычный 10 6 2 2 4" xfId="2653"/>
    <cellStyle name="Обычный 10 6 2 3" xfId="224"/>
    <cellStyle name="Обычный 10 6 2 3 2" xfId="2654"/>
    <cellStyle name="Обычный 10 6 2 3 2 2" xfId="6087"/>
    <cellStyle name="Обычный 10 6 2 3 3" xfId="2655"/>
    <cellStyle name="Обычный 10 6 2 4" xfId="225"/>
    <cellStyle name="Обычный 10 6 2 4 2" xfId="2656"/>
    <cellStyle name="Обычный 10 6 2 4 2 2" xfId="6088"/>
    <cellStyle name="Обычный 10 6 2 4 3" xfId="2657"/>
    <cellStyle name="Обычный 10 6 2 5" xfId="226"/>
    <cellStyle name="Обычный 10 6 2 5 2" xfId="2658"/>
    <cellStyle name="Обычный 10 6 2 5 2 2" xfId="6089"/>
    <cellStyle name="Обычный 10 6 2 5 3" xfId="2659"/>
    <cellStyle name="Обычный 10 6 2 6" xfId="2088"/>
    <cellStyle name="Обычный 10 6 2 6 2" xfId="2660"/>
    <cellStyle name="Обычный 10 6 2 7" xfId="2661"/>
    <cellStyle name="Обычный 10 6 2 8" xfId="6090"/>
    <cellStyle name="Обычный 10 6 3" xfId="227"/>
    <cellStyle name="Обычный 10 6 3 2" xfId="228"/>
    <cellStyle name="Обычный 10 6 3 2 2" xfId="2662"/>
    <cellStyle name="Обычный 10 6 3 2 2 2" xfId="6091"/>
    <cellStyle name="Обычный 10 6 3 2 3" xfId="2663"/>
    <cellStyle name="Обычный 10 6 3 3" xfId="2664"/>
    <cellStyle name="Обычный 10 6 3 3 2" xfId="6092"/>
    <cellStyle name="Обычный 10 6 3 4" xfId="2665"/>
    <cellStyle name="Обычный 10 6 4" xfId="229"/>
    <cellStyle name="Обычный 10 6 4 2" xfId="2666"/>
    <cellStyle name="Обычный 10 6 4 2 2" xfId="6093"/>
    <cellStyle name="Обычный 10 6 4 3" xfId="2667"/>
    <cellStyle name="Обычный 10 6 5" xfId="230"/>
    <cellStyle name="Обычный 10 6 5 2" xfId="2668"/>
    <cellStyle name="Обычный 10 6 5 2 2" xfId="6094"/>
    <cellStyle name="Обычный 10 6 5 3" xfId="2669"/>
    <cellStyle name="Обычный 10 6 6" xfId="231"/>
    <cellStyle name="Обычный 10 6 6 2" xfId="2670"/>
    <cellStyle name="Обычный 10 6 6 2 2" xfId="6095"/>
    <cellStyle name="Обычный 10 6 6 3" xfId="2671"/>
    <cellStyle name="Обычный 10 6 7" xfId="2089"/>
    <cellStyle name="Обычный 10 6 7 2" xfId="2672"/>
    <cellStyle name="Обычный 10 6 8" xfId="2673"/>
    <cellStyle name="Обычный 10 6 9" xfId="6096"/>
    <cellStyle name="Обычный 10 6_Расчет скв 3П Яснополянской  БУ румынский  без ВСП от 09082019" xfId="1970"/>
    <cellStyle name="Обычный 10 7" xfId="232"/>
    <cellStyle name="Обычный 10 7 2" xfId="233"/>
    <cellStyle name="Обычный 10 7 2 2" xfId="234"/>
    <cellStyle name="Обычный 10 7 2 2 2" xfId="2674"/>
    <cellStyle name="Обычный 10 7 2 2 2 2" xfId="6097"/>
    <cellStyle name="Обычный 10 7 2 2 3" xfId="2675"/>
    <cellStyle name="Обычный 10 7 2 3" xfId="2676"/>
    <cellStyle name="Обычный 10 7 2 3 2" xfId="6098"/>
    <cellStyle name="Обычный 10 7 2 4" xfId="2677"/>
    <cellStyle name="Обычный 10 7 3" xfId="235"/>
    <cellStyle name="Обычный 10 7 3 2" xfId="2678"/>
    <cellStyle name="Обычный 10 7 3 2 2" xfId="6099"/>
    <cellStyle name="Обычный 10 7 3 3" xfId="2679"/>
    <cellStyle name="Обычный 10 7 4" xfId="236"/>
    <cellStyle name="Обычный 10 7 4 2" xfId="2680"/>
    <cellStyle name="Обычный 10 7 4 2 2" xfId="6100"/>
    <cellStyle name="Обычный 10 7 4 3" xfId="2681"/>
    <cellStyle name="Обычный 10 7 5" xfId="237"/>
    <cellStyle name="Обычный 10 7 5 2" xfId="2682"/>
    <cellStyle name="Обычный 10 7 5 2 2" xfId="6101"/>
    <cellStyle name="Обычный 10 7 5 3" xfId="2683"/>
    <cellStyle name="Обычный 10 7 6" xfId="2090"/>
    <cellStyle name="Обычный 10 7 6 2" xfId="2684"/>
    <cellStyle name="Обычный 10 7 7" xfId="2685"/>
    <cellStyle name="Обычный 10 7 8" xfId="6102"/>
    <cellStyle name="Обычный 10 8" xfId="238"/>
    <cellStyle name="Обычный 10 8 2" xfId="239"/>
    <cellStyle name="Обычный 10 8 2 2" xfId="240"/>
    <cellStyle name="Обычный 10 8 2 2 2" xfId="2686"/>
    <cellStyle name="Обычный 10 8 2 2 2 2" xfId="6103"/>
    <cellStyle name="Обычный 10 8 2 2 3" xfId="2687"/>
    <cellStyle name="Обычный 10 8 2 3" xfId="2688"/>
    <cellStyle name="Обычный 10 8 2 3 2" xfId="6104"/>
    <cellStyle name="Обычный 10 8 2 4" xfId="2689"/>
    <cellStyle name="Обычный 10 8 3" xfId="241"/>
    <cellStyle name="Обычный 10 8 3 2" xfId="2690"/>
    <cellStyle name="Обычный 10 8 3 2 2" xfId="6105"/>
    <cellStyle name="Обычный 10 8 3 3" xfId="2691"/>
    <cellStyle name="Обычный 10 8 4" xfId="242"/>
    <cellStyle name="Обычный 10 8 4 2" xfId="2692"/>
    <cellStyle name="Обычный 10 8 4 2 2" xfId="6106"/>
    <cellStyle name="Обычный 10 8 4 3" xfId="2693"/>
    <cellStyle name="Обычный 10 8 5" xfId="243"/>
    <cellStyle name="Обычный 10 8 5 2" xfId="2694"/>
    <cellStyle name="Обычный 10 8 5 2 2" xfId="6107"/>
    <cellStyle name="Обычный 10 8 5 3" xfId="2695"/>
    <cellStyle name="Обычный 10 8 6" xfId="2091"/>
    <cellStyle name="Обычный 10 8 6 2" xfId="2696"/>
    <cellStyle name="Обычный 10 8 7" xfId="2697"/>
    <cellStyle name="Обычный 10 8 8" xfId="6108"/>
    <cellStyle name="Обычный 10 9" xfId="244"/>
    <cellStyle name="Обычный 10 9 2" xfId="245"/>
    <cellStyle name="Обычный 10 9 2 2" xfId="246"/>
    <cellStyle name="Обычный 10 9 2 2 2" xfId="2698"/>
    <cellStyle name="Обычный 10 9 2 2 2 2" xfId="6109"/>
    <cellStyle name="Обычный 10 9 2 2 3" xfId="2699"/>
    <cellStyle name="Обычный 10 9 2 3" xfId="2700"/>
    <cellStyle name="Обычный 10 9 2 3 2" xfId="6110"/>
    <cellStyle name="Обычный 10 9 2 4" xfId="2701"/>
    <cellStyle name="Обычный 10 9 3" xfId="247"/>
    <cellStyle name="Обычный 10 9 3 2" xfId="2702"/>
    <cellStyle name="Обычный 10 9 3 2 2" xfId="6111"/>
    <cellStyle name="Обычный 10 9 3 3" xfId="2703"/>
    <cellStyle name="Обычный 10 9 4" xfId="248"/>
    <cellStyle name="Обычный 10 9 4 2" xfId="2704"/>
    <cellStyle name="Обычный 10 9 4 2 2" xfId="6112"/>
    <cellStyle name="Обычный 10 9 4 3" xfId="2705"/>
    <cellStyle name="Обычный 10 9 5" xfId="249"/>
    <cellStyle name="Обычный 10 9 5 2" xfId="2706"/>
    <cellStyle name="Обычный 10 9 5 2 2" xfId="6113"/>
    <cellStyle name="Обычный 10 9 5 3" xfId="2707"/>
    <cellStyle name="Обычный 10 9 6" xfId="2092"/>
    <cellStyle name="Обычный 10 9 6 2" xfId="2708"/>
    <cellStyle name="Обычный 10 9 7" xfId="2709"/>
    <cellStyle name="Обычный 10 9 8" xfId="6114"/>
    <cellStyle name="Обычный 10_Расчет скв 3П Яснополянской  БУ румынский  без ВСП от 09082019" xfId="1971"/>
    <cellStyle name="Обычный 11" xfId="250"/>
    <cellStyle name="Обычный 11 10" xfId="251"/>
    <cellStyle name="Обычный 11 10 2" xfId="2710"/>
    <cellStyle name="Обычный 11 10 2 2" xfId="6115"/>
    <cellStyle name="Обычный 11 10 3" xfId="2711"/>
    <cellStyle name="Обычный 11 11" xfId="252"/>
    <cellStyle name="Обычный 11 11 2" xfId="2712"/>
    <cellStyle name="Обычный 11 11 2 2" xfId="6116"/>
    <cellStyle name="Обычный 11 11 3" xfId="2713"/>
    <cellStyle name="Обычный 11 12" xfId="253"/>
    <cellStyle name="Обычный 11 12 2" xfId="2714"/>
    <cellStyle name="Обычный 11 12 2 2" xfId="6117"/>
    <cellStyle name="Обычный 11 12 3" xfId="2715"/>
    <cellStyle name="Обычный 11 13" xfId="2093"/>
    <cellStyle name="Обычный 11 13 2" xfId="2716"/>
    <cellStyle name="Обычный 11 14" xfId="2717"/>
    <cellStyle name="Обычный 11 15" xfId="6118"/>
    <cellStyle name="Обычный 11 2" xfId="254"/>
    <cellStyle name="Обычный 11 2 10" xfId="2094"/>
    <cellStyle name="Обычный 11 2 10 2" xfId="2718"/>
    <cellStyle name="Обычный 11 2 11" xfId="2719"/>
    <cellStyle name="Обычный 11 2 12" xfId="6119"/>
    <cellStyle name="Обычный 11 2 2" xfId="255"/>
    <cellStyle name="Обычный 11 2 2 2" xfId="256"/>
    <cellStyle name="Обычный 11 2 2 2 2" xfId="257"/>
    <cellStyle name="Обычный 11 2 2 2 2 2" xfId="258"/>
    <cellStyle name="Обычный 11 2 2 2 2 2 2" xfId="2720"/>
    <cellStyle name="Обычный 11 2 2 2 2 2 2 2" xfId="6120"/>
    <cellStyle name="Обычный 11 2 2 2 2 2 3" xfId="2721"/>
    <cellStyle name="Обычный 11 2 2 2 2 3" xfId="2722"/>
    <cellStyle name="Обычный 11 2 2 2 2 3 2" xfId="6121"/>
    <cellStyle name="Обычный 11 2 2 2 2 4" xfId="2723"/>
    <cellStyle name="Обычный 11 2 2 2 3" xfId="259"/>
    <cellStyle name="Обычный 11 2 2 2 3 2" xfId="2724"/>
    <cellStyle name="Обычный 11 2 2 2 3 2 2" xfId="6122"/>
    <cellStyle name="Обычный 11 2 2 2 3 3" xfId="2725"/>
    <cellStyle name="Обычный 11 2 2 2 4" xfId="260"/>
    <cellStyle name="Обычный 11 2 2 2 4 2" xfId="2726"/>
    <cellStyle name="Обычный 11 2 2 2 4 2 2" xfId="6123"/>
    <cellStyle name="Обычный 11 2 2 2 4 3" xfId="2727"/>
    <cellStyle name="Обычный 11 2 2 2 5" xfId="261"/>
    <cellStyle name="Обычный 11 2 2 2 5 2" xfId="2728"/>
    <cellStyle name="Обычный 11 2 2 2 5 2 2" xfId="6124"/>
    <cellStyle name="Обычный 11 2 2 2 5 3" xfId="2729"/>
    <cellStyle name="Обычный 11 2 2 2 6" xfId="2095"/>
    <cellStyle name="Обычный 11 2 2 2 6 2" xfId="2730"/>
    <cellStyle name="Обычный 11 2 2 2 7" xfId="2731"/>
    <cellStyle name="Обычный 11 2 2 2 8" xfId="6125"/>
    <cellStyle name="Обычный 11 2 2 3" xfId="262"/>
    <cellStyle name="Обычный 11 2 2 3 2" xfId="263"/>
    <cellStyle name="Обычный 11 2 2 3 2 2" xfId="2732"/>
    <cellStyle name="Обычный 11 2 2 3 2 2 2" xfId="6126"/>
    <cellStyle name="Обычный 11 2 2 3 2 3" xfId="2733"/>
    <cellStyle name="Обычный 11 2 2 3 3" xfId="2734"/>
    <cellStyle name="Обычный 11 2 2 3 3 2" xfId="6127"/>
    <cellStyle name="Обычный 11 2 2 3 4" xfId="2735"/>
    <cellStyle name="Обычный 11 2 2 4" xfId="264"/>
    <cellStyle name="Обычный 11 2 2 4 2" xfId="2736"/>
    <cellStyle name="Обычный 11 2 2 4 2 2" xfId="6128"/>
    <cellStyle name="Обычный 11 2 2 4 3" xfId="2737"/>
    <cellStyle name="Обычный 11 2 2 5" xfId="265"/>
    <cellStyle name="Обычный 11 2 2 5 2" xfId="2738"/>
    <cellStyle name="Обычный 11 2 2 5 2 2" xfId="6129"/>
    <cellStyle name="Обычный 11 2 2 5 3" xfId="2739"/>
    <cellStyle name="Обычный 11 2 2 6" xfId="266"/>
    <cellStyle name="Обычный 11 2 2 6 2" xfId="2740"/>
    <cellStyle name="Обычный 11 2 2 6 2 2" xfId="6130"/>
    <cellStyle name="Обычный 11 2 2 6 3" xfId="2741"/>
    <cellStyle name="Обычный 11 2 2 7" xfId="2096"/>
    <cellStyle name="Обычный 11 2 2 7 2" xfId="2742"/>
    <cellStyle name="Обычный 11 2 2 8" xfId="2743"/>
    <cellStyle name="Обычный 11 2 2 9" xfId="6131"/>
    <cellStyle name="Обычный 11 2 2_Расчет скв 3П Яснополянской  БУ румынский  без ВСП от 09082019" xfId="1972"/>
    <cellStyle name="Обычный 11 2 3" xfId="267"/>
    <cellStyle name="Обычный 11 2 3 2" xfId="268"/>
    <cellStyle name="Обычный 11 2 3 2 2" xfId="269"/>
    <cellStyle name="Обычный 11 2 3 2 2 2" xfId="2744"/>
    <cellStyle name="Обычный 11 2 3 2 2 2 2" xfId="6132"/>
    <cellStyle name="Обычный 11 2 3 2 2 3" xfId="2745"/>
    <cellStyle name="Обычный 11 2 3 2 3" xfId="2746"/>
    <cellStyle name="Обычный 11 2 3 2 3 2" xfId="6133"/>
    <cellStyle name="Обычный 11 2 3 2 4" xfId="2747"/>
    <cellStyle name="Обычный 11 2 3 3" xfId="270"/>
    <cellStyle name="Обычный 11 2 3 3 2" xfId="2748"/>
    <cellStyle name="Обычный 11 2 3 3 2 2" xfId="6134"/>
    <cellStyle name="Обычный 11 2 3 3 3" xfId="2749"/>
    <cellStyle name="Обычный 11 2 3 4" xfId="271"/>
    <cellStyle name="Обычный 11 2 3 4 2" xfId="2750"/>
    <cellStyle name="Обычный 11 2 3 4 2 2" xfId="6135"/>
    <cellStyle name="Обычный 11 2 3 4 3" xfId="2751"/>
    <cellStyle name="Обычный 11 2 3 5" xfId="272"/>
    <cellStyle name="Обычный 11 2 3 5 2" xfId="2752"/>
    <cellStyle name="Обычный 11 2 3 5 2 2" xfId="6136"/>
    <cellStyle name="Обычный 11 2 3 5 3" xfId="2753"/>
    <cellStyle name="Обычный 11 2 3 6" xfId="2097"/>
    <cellStyle name="Обычный 11 2 3 6 2" xfId="2754"/>
    <cellStyle name="Обычный 11 2 3 7" xfId="2755"/>
    <cellStyle name="Обычный 11 2 3 8" xfId="6137"/>
    <cellStyle name="Обычный 11 2 4" xfId="273"/>
    <cellStyle name="Обычный 11 2 4 2" xfId="274"/>
    <cellStyle name="Обычный 11 2 4 2 2" xfId="275"/>
    <cellStyle name="Обычный 11 2 4 2 2 2" xfId="2756"/>
    <cellStyle name="Обычный 11 2 4 2 2 2 2" xfId="6138"/>
    <cellStyle name="Обычный 11 2 4 2 2 3" xfId="2757"/>
    <cellStyle name="Обычный 11 2 4 2 3" xfId="2758"/>
    <cellStyle name="Обычный 11 2 4 2 3 2" xfId="6139"/>
    <cellStyle name="Обычный 11 2 4 2 4" xfId="2759"/>
    <cellStyle name="Обычный 11 2 4 3" xfId="276"/>
    <cellStyle name="Обычный 11 2 4 3 2" xfId="2760"/>
    <cellStyle name="Обычный 11 2 4 3 2 2" xfId="6140"/>
    <cellStyle name="Обычный 11 2 4 3 3" xfId="2761"/>
    <cellStyle name="Обычный 11 2 4 4" xfId="277"/>
    <cellStyle name="Обычный 11 2 4 4 2" xfId="2762"/>
    <cellStyle name="Обычный 11 2 4 4 2 2" xfId="6141"/>
    <cellStyle name="Обычный 11 2 4 4 3" xfId="2763"/>
    <cellStyle name="Обычный 11 2 4 5" xfId="278"/>
    <cellStyle name="Обычный 11 2 4 5 2" xfId="2764"/>
    <cellStyle name="Обычный 11 2 4 5 2 2" xfId="6142"/>
    <cellStyle name="Обычный 11 2 4 5 3" xfId="2765"/>
    <cellStyle name="Обычный 11 2 4 6" xfId="2098"/>
    <cellStyle name="Обычный 11 2 4 6 2" xfId="2766"/>
    <cellStyle name="Обычный 11 2 4 7" xfId="2767"/>
    <cellStyle name="Обычный 11 2 4 8" xfId="6143"/>
    <cellStyle name="Обычный 11 2 5" xfId="279"/>
    <cellStyle name="Обычный 11 2 5 2" xfId="280"/>
    <cellStyle name="Обычный 11 2 5 2 2" xfId="281"/>
    <cellStyle name="Обычный 11 2 5 2 2 2" xfId="2768"/>
    <cellStyle name="Обычный 11 2 5 2 2 2 2" xfId="6144"/>
    <cellStyle name="Обычный 11 2 5 2 2 3" xfId="2769"/>
    <cellStyle name="Обычный 11 2 5 2 3" xfId="2770"/>
    <cellStyle name="Обычный 11 2 5 2 3 2" xfId="6145"/>
    <cellStyle name="Обычный 11 2 5 2 4" xfId="2771"/>
    <cellStyle name="Обычный 11 2 5 3" xfId="282"/>
    <cellStyle name="Обычный 11 2 5 3 2" xfId="2772"/>
    <cellStyle name="Обычный 11 2 5 3 2 2" xfId="6146"/>
    <cellStyle name="Обычный 11 2 5 3 3" xfId="2773"/>
    <cellStyle name="Обычный 11 2 5 4" xfId="283"/>
    <cellStyle name="Обычный 11 2 5 4 2" xfId="2774"/>
    <cellStyle name="Обычный 11 2 5 4 2 2" xfId="6147"/>
    <cellStyle name="Обычный 11 2 5 4 3" xfId="2775"/>
    <cellStyle name="Обычный 11 2 5 5" xfId="284"/>
    <cellStyle name="Обычный 11 2 5 5 2" xfId="2776"/>
    <cellStyle name="Обычный 11 2 5 5 2 2" xfId="6148"/>
    <cellStyle name="Обычный 11 2 5 5 3" xfId="2777"/>
    <cellStyle name="Обычный 11 2 5 6" xfId="2099"/>
    <cellStyle name="Обычный 11 2 5 6 2" xfId="2778"/>
    <cellStyle name="Обычный 11 2 5 7" xfId="2779"/>
    <cellStyle name="Обычный 11 2 5 8" xfId="6149"/>
    <cellStyle name="Обычный 11 2 6" xfId="285"/>
    <cellStyle name="Обычный 11 2 6 2" xfId="286"/>
    <cellStyle name="Обычный 11 2 6 2 2" xfId="2780"/>
    <cellStyle name="Обычный 11 2 6 2 2 2" xfId="6150"/>
    <cellStyle name="Обычный 11 2 6 2 3" xfId="2781"/>
    <cellStyle name="Обычный 11 2 6 3" xfId="2782"/>
    <cellStyle name="Обычный 11 2 6 3 2" xfId="6151"/>
    <cellStyle name="Обычный 11 2 6 4" xfId="2783"/>
    <cellStyle name="Обычный 11 2 7" xfId="287"/>
    <cellStyle name="Обычный 11 2 7 2" xfId="2784"/>
    <cellStyle name="Обычный 11 2 7 2 2" xfId="6152"/>
    <cellStyle name="Обычный 11 2 7 3" xfId="2785"/>
    <cellStyle name="Обычный 11 2 8" xfId="288"/>
    <cellStyle name="Обычный 11 2 8 2" xfId="2786"/>
    <cellStyle name="Обычный 11 2 8 2 2" xfId="6153"/>
    <cellStyle name="Обычный 11 2 8 3" xfId="2787"/>
    <cellStyle name="Обычный 11 2 9" xfId="289"/>
    <cellStyle name="Обычный 11 2 9 2" xfId="2788"/>
    <cellStyle name="Обычный 11 2 9 2 2" xfId="6154"/>
    <cellStyle name="Обычный 11 2 9 3" xfId="2789"/>
    <cellStyle name="Обычный 11 2_Расчет скв 3П Яснополянской  БУ румынский  без ВСП от 09082019" xfId="1973"/>
    <cellStyle name="Обычный 11 3" xfId="290"/>
    <cellStyle name="Обычный 11 3 10" xfId="2100"/>
    <cellStyle name="Обычный 11 3 10 2" xfId="2790"/>
    <cellStyle name="Обычный 11 3 11" xfId="2791"/>
    <cellStyle name="Обычный 11 3 12" xfId="6155"/>
    <cellStyle name="Обычный 11 3 2" xfId="291"/>
    <cellStyle name="Обычный 11 3 2 2" xfId="292"/>
    <cellStyle name="Обычный 11 3 2 2 2" xfId="293"/>
    <cellStyle name="Обычный 11 3 2 2 2 2" xfId="294"/>
    <cellStyle name="Обычный 11 3 2 2 2 2 2" xfId="2792"/>
    <cellStyle name="Обычный 11 3 2 2 2 2 2 2" xfId="6156"/>
    <cellStyle name="Обычный 11 3 2 2 2 2 3" xfId="2793"/>
    <cellStyle name="Обычный 11 3 2 2 2 3" xfId="2794"/>
    <cellStyle name="Обычный 11 3 2 2 2 3 2" xfId="6157"/>
    <cellStyle name="Обычный 11 3 2 2 2 4" xfId="2795"/>
    <cellStyle name="Обычный 11 3 2 2 3" xfId="295"/>
    <cellStyle name="Обычный 11 3 2 2 3 2" xfId="2796"/>
    <cellStyle name="Обычный 11 3 2 2 3 2 2" xfId="6158"/>
    <cellStyle name="Обычный 11 3 2 2 3 3" xfId="2797"/>
    <cellStyle name="Обычный 11 3 2 2 4" xfId="296"/>
    <cellStyle name="Обычный 11 3 2 2 4 2" xfId="2798"/>
    <cellStyle name="Обычный 11 3 2 2 4 2 2" xfId="6159"/>
    <cellStyle name="Обычный 11 3 2 2 4 3" xfId="2799"/>
    <cellStyle name="Обычный 11 3 2 2 5" xfId="297"/>
    <cellStyle name="Обычный 11 3 2 2 5 2" xfId="2800"/>
    <cellStyle name="Обычный 11 3 2 2 5 2 2" xfId="6160"/>
    <cellStyle name="Обычный 11 3 2 2 5 3" xfId="2801"/>
    <cellStyle name="Обычный 11 3 2 2 6" xfId="2101"/>
    <cellStyle name="Обычный 11 3 2 2 6 2" xfId="2802"/>
    <cellStyle name="Обычный 11 3 2 2 7" xfId="2803"/>
    <cellStyle name="Обычный 11 3 2 2 8" xfId="6161"/>
    <cellStyle name="Обычный 11 3 2 3" xfId="298"/>
    <cellStyle name="Обычный 11 3 2 3 2" xfId="299"/>
    <cellStyle name="Обычный 11 3 2 3 2 2" xfId="2804"/>
    <cellStyle name="Обычный 11 3 2 3 2 2 2" xfId="6162"/>
    <cellStyle name="Обычный 11 3 2 3 2 3" xfId="2805"/>
    <cellStyle name="Обычный 11 3 2 3 3" xfId="2806"/>
    <cellStyle name="Обычный 11 3 2 3 3 2" xfId="6163"/>
    <cellStyle name="Обычный 11 3 2 3 4" xfId="2807"/>
    <cellStyle name="Обычный 11 3 2 4" xfId="300"/>
    <cellStyle name="Обычный 11 3 2 4 2" xfId="2808"/>
    <cellStyle name="Обычный 11 3 2 4 2 2" xfId="6164"/>
    <cellStyle name="Обычный 11 3 2 4 3" xfId="2809"/>
    <cellStyle name="Обычный 11 3 2 5" xfId="301"/>
    <cellStyle name="Обычный 11 3 2 5 2" xfId="2810"/>
    <cellStyle name="Обычный 11 3 2 5 2 2" xfId="6165"/>
    <cellStyle name="Обычный 11 3 2 5 3" xfId="2811"/>
    <cellStyle name="Обычный 11 3 2 6" xfId="302"/>
    <cellStyle name="Обычный 11 3 2 6 2" xfId="2812"/>
    <cellStyle name="Обычный 11 3 2 6 2 2" xfId="6166"/>
    <cellStyle name="Обычный 11 3 2 6 3" xfId="2813"/>
    <cellStyle name="Обычный 11 3 2 7" xfId="2102"/>
    <cellStyle name="Обычный 11 3 2 7 2" xfId="2814"/>
    <cellStyle name="Обычный 11 3 2 8" xfId="2815"/>
    <cellStyle name="Обычный 11 3 2 9" xfId="6167"/>
    <cellStyle name="Обычный 11 3 2_Расчет скв 3П Яснополянской  БУ румынский  без ВСП от 09082019" xfId="1974"/>
    <cellStyle name="Обычный 11 3 3" xfId="303"/>
    <cellStyle name="Обычный 11 3 3 2" xfId="304"/>
    <cellStyle name="Обычный 11 3 3 2 2" xfId="305"/>
    <cellStyle name="Обычный 11 3 3 2 2 2" xfId="2816"/>
    <cellStyle name="Обычный 11 3 3 2 2 2 2" xfId="6168"/>
    <cellStyle name="Обычный 11 3 3 2 2 3" xfId="2817"/>
    <cellStyle name="Обычный 11 3 3 2 3" xfId="2818"/>
    <cellStyle name="Обычный 11 3 3 2 3 2" xfId="6169"/>
    <cellStyle name="Обычный 11 3 3 2 4" xfId="2819"/>
    <cellStyle name="Обычный 11 3 3 3" xfId="306"/>
    <cellStyle name="Обычный 11 3 3 3 2" xfId="2820"/>
    <cellStyle name="Обычный 11 3 3 3 2 2" xfId="6170"/>
    <cellStyle name="Обычный 11 3 3 3 3" xfId="2821"/>
    <cellStyle name="Обычный 11 3 3 4" xfId="307"/>
    <cellStyle name="Обычный 11 3 3 4 2" xfId="2822"/>
    <cellStyle name="Обычный 11 3 3 4 2 2" xfId="6171"/>
    <cellStyle name="Обычный 11 3 3 4 3" xfId="2823"/>
    <cellStyle name="Обычный 11 3 3 5" xfId="308"/>
    <cellStyle name="Обычный 11 3 3 5 2" xfId="2824"/>
    <cellStyle name="Обычный 11 3 3 5 2 2" xfId="6172"/>
    <cellStyle name="Обычный 11 3 3 5 3" xfId="2825"/>
    <cellStyle name="Обычный 11 3 3 6" xfId="2103"/>
    <cellStyle name="Обычный 11 3 3 6 2" xfId="2826"/>
    <cellStyle name="Обычный 11 3 3 7" xfId="2827"/>
    <cellStyle name="Обычный 11 3 3 8" xfId="6173"/>
    <cellStyle name="Обычный 11 3 4" xfId="309"/>
    <cellStyle name="Обычный 11 3 4 2" xfId="310"/>
    <cellStyle name="Обычный 11 3 4 2 2" xfId="311"/>
    <cellStyle name="Обычный 11 3 4 2 2 2" xfId="2828"/>
    <cellStyle name="Обычный 11 3 4 2 2 2 2" xfId="6174"/>
    <cellStyle name="Обычный 11 3 4 2 2 3" xfId="2829"/>
    <cellStyle name="Обычный 11 3 4 2 3" xfId="2830"/>
    <cellStyle name="Обычный 11 3 4 2 3 2" xfId="6175"/>
    <cellStyle name="Обычный 11 3 4 2 4" xfId="2831"/>
    <cellStyle name="Обычный 11 3 4 3" xfId="312"/>
    <cellStyle name="Обычный 11 3 4 3 2" xfId="2832"/>
    <cellStyle name="Обычный 11 3 4 3 2 2" xfId="6176"/>
    <cellStyle name="Обычный 11 3 4 3 3" xfId="2833"/>
    <cellStyle name="Обычный 11 3 4 4" xfId="313"/>
    <cellStyle name="Обычный 11 3 4 4 2" xfId="2834"/>
    <cellStyle name="Обычный 11 3 4 4 2 2" xfId="6177"/>
    <cellStyle name="Обычный 11 3 4 4 3" xfId="2835"/>
    <cellStyle name="Обычный 11 3 4 5" xfId="314"/>
    <cellStyle name="Обычный 11 3 4 5 2" xfId="2836"/>
    <cellStyle name="Обычный 11 3 4 5 2 2" xfId="6178"/>
    <cellStyle name="Обычный 11 3 4 5 3" xfId="2837"/>
    <cellStyle name="Обычный 11 3 4 6" xfId="2104"/>
    <cellStyle name="Обычный 11 3 4 6 2" xfId="2838"/>
    <cellStyle name="Обычный 11 3 4 7" xfId="2839"/>
    <cellStyle name="Обычный 11 3 4 8" xfId="6179"/>
    <cellStyle name="Обычный 11 3 5" xfId="315"/>
    <cellStyle name="Обычный 11 3 5 2" xfId="316"/>
    <cellStyle name="Обычный 11 3 5 2 2" xfId="317"/>
    <cellStyle name="Обычный 11 3 5 2 2 2" xfId="2840"/>
    <cellStyle name="Обычный 11 3 5 2 2 2 2" xfId="6180"/>
    <cellStyle name="Обычный 11 3 5 2 2 3" xfId="2841"/>
    <cellStyle name="Обычный 11 3 5 2 3" xfId="2842"/>
    <cellStyle name="Обычный 11 3 5 2 3 2" xfId="6181"/>
    <cellStyle name="Обычный 11 3 5 2 4" xfId="2843"/>
    <cellStyle name="Обычный 11 3 5 3" xfId="318"/>
    <cellStyle name="Обычный 11 3 5 3 2" xfId="2844"/>
    <cellStyle name="Обычный 11 3 5 3 2 2" xfId="6182"/>
    <cellStyle name="Обычный 11 3 5 3 3" xfId="2845"/>
    <cellStyle name="Обычный 11 3 5 4" xfId="319"/>
    <cellStyle name="Обычный 11 3 5 4 2" xfId="2846"/>
    <cellStyle name="Обычный 11 3 5 4 2 2" xfId="6183"/>
    <cellStyle name="Обычный 11 3 5 4 3" xfId="2847"/>
    <cellStyle name="Обычный 11 3 5 5" xfId="320"/>
    <cellStyle name="Обычный 11 3 5 5 2" xfId="2848"/>
    <cellStyle name="Обычный 11 3 5 5 2 2" xfId="6184"/>
    <cellStyle name="Обычный 11 3 5 5 3" xfId="2849"/>
    <cellStyle name="Обычный 11 3 5 6" xfId="2105"/>
    <cellStyle name="Обычный 11 3 5 6 2" xfId="2850"/>
    <cellStyle name="Обычный 11 3 5 7" xfId="2851"/>
    <cellStyle name="Обычный 11 3 5 8" xfId="6185"/>
    <cellStyle name="Обычный 11 3 6" xfId="321"/>
    <cellStyle name="Обычный 11 3 6 2" xfId="322"/>
    <cellStyle name="Обычный 11 3 6 2 2" xfId="2852"/>
    <cellStyle name="Обычный 11 3 6 2 2 2" xfId="6186"/>
    <cellStyle name="Обычный 11 3 6 2 3" xfId="2853"/>
    <cellStyle name="Обычный 11 3 6 3" xfId="2854"/>
    <cellStyle name="Обычный 11 3 6 3 2" xfId="6187"/>
    <cellStyle name="Обычный 11 3 6 4" xfId="2855"/>
    <cellStyle name="Обычный 11 3 7" xfId="323"/>
    <cellStyle name="Обычный 11 3 7 2" xfId="2856"/>
    <cellStyle name="Обычный 11 3 7 2 2" xfId="6188"/>
    <cellStyle name="Обычный 11 3 7 3" xfId="2857"/>
    <cellStyle name="Обычный 11 3 8" xfId="324"/>
    <cellStyle name="Обычный 11 3 8 2" xfId="2858"/>
    <cellStyle name="Обычный 11 3 8 2 2" xfId="6189"/>
    <cellStyle name="Обычный 11 3 8 3" xfId="2859"/>
    <cellStyle name="Обычный 11 3 9" xfId="325"/>
    <cellStyle name="Обычный 11 3 9 2" xfId="2860"/>
    <cellStyle name="Обычный 11 3 9 2 2" xfId="6190"/>
    <cellStyle name="Обычный 11 3 9 3" xfId="2861"/>
    <cellStyle name="Обычный 11 3_Расчет скв 3П Яснополянской  БУ румынский  без ВСП от 09082019" xfId="1975"/>
    <cellStyle name="Обычный 11 4" xfId="326"/>
    <cellStyle name="Обычный 11 4 10" xfId="2106"/>
    <cellStyle name="Обычный 11 4 10 2" xfId="2862"/>
    <cellStyle name="Обычный 11 4 11" xfId="2863"/>
    <cellStyle name="Обычный 11 4 12" xfId="6191"/>
    <cellStyle name="Обычный 11 4 2" xfId="327"/>
    <cellStyle name="Обычный 11 4 2 2" xfId="328"/>
    <cellStyle name="Обычный 11 4 2 2 2" xfId="329"/>
    <cellStyle name="Обычный 11 4 2 2 2 2" xfId="330"/>
    <cellStyle name="Обычный 11 4 2 2 2 2 2" xfId="2864"/>
    <cellStyle name="Обычный 11 4 2 2 2 2 2 2" xfId="6192"/>
    <cellStyle name="Обычный 11 4 2 2 2 2 3" xfId="2865"/>
    <cellStyle name="Обычный 11 4 2 2 2 3" xfId="2866"/>
    <cellStyle name="Обычный 11 4 2 2 2 3 2" xfId="6193"/>
    <cellStyle name="Обычный 11 4 2 2 2 4" xfId="2867"/>
    <cellStyle name="Обычный 11 4 2 2 3" xfId="331"/>
    <cellStyle name="Обычный 11 4 2 2 3 2" xfId="2868"/>
    <cellStyle name="Обычный 11 4 2 2 3 2 2" xfId="6194"/>
    <cellStyle name="Обычный 11 4 2 2 3 3" xfId="2869"/>
    <cellStyle name="Обычный 11 4 2 2 4" xfId="332"/>
    <cellStyle name="Обычный 11 4 2 2 4 2" xfId="2870"/>
    <cellStyle name="Обычный 11 4 2 2 4 2 2" xfId="6195"/>
    <cellStyle name="Обычный 11 4 2 2 4 3" xfId="2871"/>
    <cellStyle name="Обычный 11 4 2 2 5" xfId="333"/>
    <cellStyle name="Обычный 11 4 2 2 5 2" xfId="2872"/>
    <cellStyle name="Обычный 11 4 2 2 5 2 2" xfId="6196"/>
    <cellStyle name="Обычный 11 4 2 2 5 3" xfId="2873"/>
    <cellStyle name="Обычный 11 4 2 2 6" xfId="2107"/>
    <cellStyle name="Обычный 11 4 2 2 6 2" xfId="2874"/>
    <cellStyle name="Обычный 11 4 2 2 7" xfId="2875"/>
    <cellStyle name="Обычный 11 4 2 2 8" xfId="6197"/>
    <cellStyle name="Обычный 11 4 2 3" xfId="334"/>
    <cellStyle name="Обычный 11 4 2 3 2" xfId="335"/>
    <cellStyle name="Обычный 11 4 2 3 2 2" xfId="2876"/>
    <cellStyle name="Обычный 11 4 2 3 2 2 2" xfId="6198"/>
    <cellStyle name="Обычный 11 4 2 3 2 3" xfId="2877"/>
    <cellStyle name="Обычный 11 4 2 3 3" xfId="2878"/>
    <cellStyle name="Обычный 11 4 2 3 3 2" xfId="6199"/>
    <cellStyle name="Обычный 11 4 2 3 4" xfId="2879"/>
    <cellStyle name="Обычный 11 4 2 4" xfId="336"/>
    <cellStyle name="Обычный 11 4 2 4 2" xfId="2880"/>
    <cellStyle name="Обычный 11 4 2 4 2 2" xfId="6200"/>
    <cellStyle name="Обычный 11 4 2 4 3" xfId="2881"/>
    <cellStyle name="Обычный 11 4 2 5" xfId="337"/>
    <cellStyle name="Обычный 11 4 2 5 2" xfId="2882"/>
    <cellStyle name="Обычный 11 4 2 5 2 2" xfId="6201"/>
    <cellStyle name="Обычный 11 4 2 5 3" xfId="2883"/>
    <cellStyle name="Обычный 11 4 2 6" xfId="338"/>
    <cellStyle name="Обычный 11 4 2 6 2" xfId="2884"/>
    <cellStyle name="Обычный 11 4 2 6 2 2" xfId="6202"/>
    <cellStyle name="Обычный 11 4 2 6 3" xfId="2885"/>
    <cellStyle name="Обычный 11 4 2 7" xfId="2108"/>
    <cellStyle name="Обычный 11 4 2 7 2" xfId="2886"/>
    <cellStyle name="Обычный 11 4 2 8" xfId="2887"/>
    <cellStyle name="Обычный 11 4 2 9" xfId="6203"/>
    <cellStyle name="Обычный 11 4 2_Расчет скв 3П Яснополянской  БУ румынский  без ВСП от 09082019" xfId="1976"/>
    <cellStyle name="Обычный 11 4 3" xfId="339"/>
    <cellStyle name="Обычный 11 4 3 2" xfId="340"/>
    <cellStyle name="Обычный 11 4 3 2 2" xfId="341"/>
    <cellStyle name="Обычный 11 4 3 2 2 2" xfId="2888"/>
    <cellStyle name="Обычный 11 4 3 2 2 2 2" xfId="6204"/>
    <cellStyle name="Обычный 11 4 3 2 2 3" xfId="2889"/>
    <cellStyle name="Обычный 11 4 3 2 3" xfId="2890"/>
    <cellStyle name="Обычный 11 4 3 2 3 2" xfId="6205"/>
    <cellStyle name="Обычный 11 4 3 2 4" xfId="2891"/>
    <cellStyle name="Обычный 11 4 3 3" xfId="342"/>
    <cellStyle name="Обычный 11 4 3 3 2" xfId="2892"/>
    <cellStyle name="Обычный 11 4 3 3 2 2" xfId="6206"/>
    <cellStyle name="Обычный 11 4 3 3 3" xfId="2893"/>
    <cellStyle name="Обычный 11 4 3 4" xfId="343"/>
    <cellStyle name="Обычный 11 4 3 4 2" xfId="2894"/>
    <cellStyle name="Обычный 11 4 3 4 2 2" xfId="6207"/>
    <cellStyle name="Обычный 11 4 3 4 3" xfId="2895"/>
    <cellStyle name="Обычный 11 4 3 5" xfId="344"/>
    <cellStyle name="Обычный 11 4 3 5 2" xfId="2896"/>
    <cellStyle name="Обычный 11 4 3 5 2 2" xfId="6208"/>
    <cellStyle name="Обычный 11 4 3 5 3" xfId="2897"/>
    <cellStyle name="Обычный 11 4 3 6" xfId="2109"/>
    <cellStyle name="Обычный 11 4 3 6 2" xfId="2898"/>
    <cellStyle name="Обычный 11 4 3 7" xfId="2899"/>
    <cellStyle name="Обычный 11 4 3 8" xfId="6209"/>
    <cellStyle name="Обычный 11 4 4" xfId="345"/>
    <cellStyle name="Обычный 11 4 4 2" xfId="346"/>
    <cellStyle name="Обычный 11 4 4 2 2" xfId="347"/>
    <cellStyle name="Обычный 11 4 4 2 2 2" xfId="2900"/>
    <cellStyle name="Обычный 11 4 4 2 2 2 2" xfId="6210"/>
    <cellStyle name="Обычный 11 4 4 2 2 3" xfId="2901"/>
    <cellStyle name="Обычный 11 4 4 2 3" xfId="2902"/>
    <cellStyle name="Обычный 11 4 4 2 3 2" xfId="6211"/>
    <cellStyle name="Обычный 11 4 4 2 4" xfId="2903"/>
    <cellStyle name="Обычный 11 4 4 3" xfId="348"/>
    <cellStyle name="Обычный 11 4 4 3 2" xfId="2904"/>
    <cellStyle name="Обычный 11 4 4 3 2 2" xfId="6212"/>
    <cellStyle name="Обычный 11 4 4 3 3" xfId="2905"/>
    <cellStyle name="Обычный 11 4 4 4" xfId="349"/>
    <cellStyle name="Обычный 11 4 4 4 2" xfId="2906"/>
    <cellStyle name="Обычный 11 4 4 4 2 2" xfId="6213"/>
    <cellStyle name="Обычный 11 4 4 4 3" xfId="2907"/>
    <cellStyle name="Обычный 11 4 4 5" xfId="350"/>
    <cellStyle name="Обычный 11 4 4 5 2" xfId="2908"/>
    <cellStyle name="Обычный 11 4 4 5 2 2" xfId="6214"/>
    <cellStyle name="Обычный 11 4 4 5 3" xfId="2909"/>
    <cellStyle name="Обычный 11 4 4 6" xfId="2110"/>
    <cellStyle name="Обычный 11 4 4 6 2" xfId="2910"/>
    <cellStyle name="Обычный 11 4 4 7" xfId="2911"/>
    <cellStyle name="Обычный 11 4 4 8" xfId="6215"/>
    <cellStyle name="Обычный 11 4 5" xfId="351"/>
    <cellStyle name="Обычный 11 4 5 2" xfId="352"/>
    <cellStyle name="Обычный 11 4 5 2 2" xfId="353"/>
    <cellStyle name="Обычный 11 4 5 2 2 2" xfId="2912"/>
    <cellStyle name="Обычный 11 4 5 2 2 2 2" xfId="6216"/>
    <cellStyle name="Обычный 11 4 5 2 2 3" xfId="2913"/>
    <cellStyle name="Обычный 11 4 5 2 3" xfId="2914"/>
    <cellStyle name="Обычный 11 4 5 2 3 2" xfId="6217"/>
    <cellStyle name="Обычный 11 4 5 2 4" xfId="2915"/>
    <cellStyle name="Обычный 11 4 5 3" xfId="354"/>
    <cellStyle name="Обычный 11 4 5 3 2" xfId="2916"/>
    <cellStyle name="Обычный 11 4 5 3 2 2" xfId="6218"/>
    <cellStyle name="Обычный 11 4 5 3 3" xfId="2917"/>
    <cellStyle name="Обычный 11 4 5 4" xfId="355"/>
    <cellStyle name="Обычный 11 4 5 4 2" xfId="2918"/>
    <cellStyle name="Обычный 11 4 5 4 2 2" xfId="6219"/>
    <cellStyle name="Обычный 11 4 5 4 3" xfId="2919"/>
    <cellStyle name="Обычный 11 4 5 5" xfId="356"/>
    <cellStyle name="Обычный 11 4 5 5 2" xfId="2920"/>
    <cellStyle name="Обычный 11 4 5 5 2 2" xfId="6220"/>
    <cellStyle name="Обычный 11 4 5 5 3" xfId="2921"/>
    <cellStyle name="Обычный 11 4 5 6" xfId="2111"/>
    <cellStyle name="Обычный 11 4 5 6 2" xfId="2922"/>
    <cellStyle name="Обычный 11 4 5 7" xfId="2923"/>
    <cellStyle name="Обычный 11 4 5 8" xfId="6221"/>
    <cellStyle name="Обычный 11 4 6" xfId="357"/>
    <cellStyle name="Обычный 11 4 6 2" xfId="358"/>
    <cellStyle name="Обычный 11 4 6 2 2" xfId="2924"/>
    <cellStyle name="Обычный 11 4 6 2 2 2" xfId="6222"/>
    <cellStyle name="Обычный 11 4 6 2 3" xfId="2925"/>
    <cellStyle name="Обычный 11 4 6 3" xfId="2926"/>
    <cellStyle name="Обычный 11 4 6 3 2" xfId="6223"/>
    <cellStyle name="Обычный 11 4 6 4" xfId="2927"/>
    <cellStyle name="Обычный 11 4 7" xfId="359"/>
    <cellStyle name="Обычный 11 4 7 2" xfId="2928"/>
    <cellStyle name="Обычный 11 4 7 2 2" xfId="6224"/>
    <cellStyle name="Обычный 11 4 7 3" xfId="2929"/>
    <cellStyle name="Обычный 11 4 8" xfId="360"/>
    <cellStyle name="Обычный 11 4 8 2" xfId="2930"/>
    <cellStyle name="Обычный 11 4 8 2 2" xfId="6225"/>
    <cellStyle name="Обычный 11 4 8 3" xfId="2931"/>
    <cellStyle name="Обычный 11 4 9" xfId="361"/>
    <cellStyle name="Обычный 11 4 9 2" xfId="2932"/>
    <cellStyle name="Обычный 11 4 9 2 2" xfId="6226"/>
    <cellStyle name="Обычный 11 4 9 3" xfId="2933"/>
    <cellStyle name="Обычный 11 4_Расчет скв 3П Яснополянской  БУ румынский  без ВСП от 09082019" xfId="1977"/>
    <cellStyle name="Обычный 11 5" xfId="362"/>
    <cellStyle name="Обычный 11 5 2" xfId="363"/>
    <cellStyle name="Обычный 11 5 2 2" xfId="364"/>
    <cellStyle name="Обычный 11 5 2 2 2" xfId="365"/>
    <cellStyle name="Обычный 11 5 2 2 2 2" xfId="2934"/>
    <cellStyle name="Обычный 11 5 2 2 2 2 2" xfId="6227"/>
    <cellStyle name="Обычный 11 5 2 2 2 3" xfId="2935"/>
    <cellStyle name="Обычный 11 5 2 2 3" xfId="2936"/>
    <cellStyle name="Обычный 11 5 2 2 3 2" xfId="6228"/>
    <cellStyle name="Обычный 11 5 2 2 4" xfId="2937"/>
    <cellStyle name="Обычный 11 5 2 3" xfId="366"/>
    <cellStyle name="Обычный 11 5 2 3 2" xfId="2938"/>
    <cellStyle name="Обычный 11 5 2 3 2 2" xfId="6229"/>
    <cellStyle name="Обычный 11 5 2 3 3" xfId="2939"/>
    <cellStyle name="Обычный 11 5 2 4" xfId="367"/>
    <cellStyle name="Обычный 11 5 2 4 2" xfId="2940"/>
    <cellStyle name="Обычный 11 5 2 4 2 2" xfId="6230"/>
    <cellStyle name="Обычный 11 5 2 4 3" xfId="2941"/>
    <cellStyle name="Обычный 11 5 2 5" xfId="368"/>
    <cellStyle name="Обычный 11 5 2 5 2" xfId="2942"/>
    <cellStyle name="Обычный 11 5 2 5 2 2" xfId="6231"/>
    <cellStyle name="Обычный 11 5 2 5 3" xfId="2943"/>
    <cellStyle name="Обычный 11 5 2 6" xfId="2112"/>
    <cellStyle name="Обычный 11 5 2 6 2" xfId="2944"/>
    <cellStyle name="Обычный 11 5 2 7" xfId="2945"/>
    <cellStyle name="Обычный 11 5 2 8" xfId="6232"/>
    <cellStyle name="Обычный 11 5 3" xfId="369"/>
    <cellStyle name="Обычный 11 5 3 2" xfId="370"/>
    <cellStyle name="Обычный 11 5 3 2 2" xfId="2946"/>
    <cellStyle name="Обычный 11 5 3 2 2 2" xfId="6233"/>
    <cellStyle name="Обычный 11 5 3 2 3" xfId="2947"/>
    <cellStyle name="Обычный 11 5 3 3" xfId="2948"/>
    <cellStyle name="Обычный 11 5 3 3 2" xfId="6234"/>
    <cellStyle name="Обычный 11 5 3 4" xfId="2949"/>
    <cellStyle name="Обычный 11 5 4" xfId="371"/>
    <cellStyle name="Обычный 11 5 4 2" xfId="2950"/>
    <cellStyle name="Обычный 11 5 4 2 2" xfId="6235"/>
    <cellStyle name="Обычный 11 5 4 3" xfId="2951"/>
    <cellStyle name="Обычный 11 5 5" xfId="372"/>
    <cellStyle name="Обычный 11 5 5 2" xfId="2952"/>
    <cellStyle name="Обычный 11 5 5 2 2" xfId="6236"/>
    <cellStyle name="Обычный 11 5 5 3" xfId="2953"/>
    <cellStyle name="Обычный 11 5 6" xfId="373"/>
    <cellStyle name="Обычный 11 5 6 2" xfId="2954"/>
    <cellStyle name="Обычный 11 5 6 2 2" xfId="6237"/>
    <cellStyle name="Обычный 11 5 6 3" xfId="2955"/>
    <cellStyle name="Обычный 11 5 7" xfId="2113"/>
    <cellStyle name="Обычный 11 5 7 2" xfId="2956"/>
    <cellStyle name="Обычный 11 5 8" xfId="2957"/>
    <cellStyle name="Обычный 11 5 9" xfId="6238"/>
    <cellStyle name="Обычный 11 5_Расчет скв 3П Яснополянской  БУ румынский  без ВСП от 09082019" xfId="1978"/>
    <cellStyle name="Обычный 11 6" xfId="374"/>
    <cellStyle name="Обычный 11 6 2" xfId="375"/>
    <cellStyle name="Обычный 11 6 2 2" xfId="376"/>
    <cellStyle name="Обычный 11 6 2 2 2" xfId="2958"/>
    <cellStyle name="Обычный 11 6 2 2 2 2" xfId="6239"/>
    <cellStyle name="Обычный 11 6 2 2 3" xfId="2959"/>
    <cellStyle name="Обычный 11 6 2 3" xfId="2960"/>
    <cellStyle name="Обычный 11 6 2 3 2" xfId="6240"/>
    <cellStyle name="Обычный 11 6 2 4" xfId="2961"/>
    <cellStyle name="Обычный 11 6 3" xfId="377"/>
    <cellStyle name="Обычный 11 6 3 2" xfId="2962"/>
    <cellStyle name="Обычный 11 6 3 2 2" xfId="6241"/>
    <cellStyle name="Обычный 11 6 3 3" xfId="2963"/>
    <cellStyle name="Обычный 11 6 4" xfId="378"/>
    <cellStyle name="Обычный 11 6 4 2" xfId="2964"/>
    <cellStyle name="Обычный 11 6 4 2 2" xfId="6242"/>
    <cellStyle name="Обычный 11 6 4 3" xfId="2965"/>
    <cellStyle name="Обычный 11 6 5" xfId="379"/>
    <cellStyle name="Обычный 11 6 5 2" xfId="2966"/>
    <cellStyle name="Обычный 11 6 5 2 2" xfId="6243"/>
    <cellStyle name="Обычный 11 6 5 3" xfId="2967"/>
    <cellStyle name="Обычный 11 6 6" xfId="2114"/>
    <cellStyle name="Обычный 11 6 6 2" xfId="2968"/>
    <cellStyle name="Обычный 11 6 7" xfId="2969"/>
    <cellStyle name="Обычный 11 6 8" xfId="6244"/>
    <cellStyle name="Обычный 11 7" xfId="380"/>
    <cellStyle name="Обычный 11 7 2" xfId="381"/>
    <cellStyle name="Обычный 11 7 2 2" xfId="382"/>
    <cellStyle name="Обычный 11 7 2 2 2" xfId="2970"/>
    <cellStyle name="Обычный 11 7 2 2 2 2" xfId="6245"/>
    <cellStyle name="Обычный 11 7 2 2 3" xfId="2971"/>
    <cellStyle name="Обычный 11 7 2 3" xfId="2972"/>
    <cellStyle name="Обычный 11 7 2 3 2" xfId="6246"/>
    <cellStyle name="Обычный 11 7 2 4" xfId="2973"/>
    <cellStyle name="Обычный 11 7 3" xfId="383"/>
    <cellStyle name="Обычный 11 7 3 2" xfId="2974"/>
    <cellStyle name="Обычный 11 7 3 2 2" xfId="6247"/>
    <cellStyle name="Обычный 11 7 3 3" xfId="2975"/>
    <cellStyle name="Обычный 11 7 4" xfId="384"/>
    <cellStyle name="Обычный 11 7 4 2" xfId="2976"/>
    <cellStyle name="Обычный 11 7 4 2 2" xfId="6248"/>
    <cellStyle name="Обычный 11 7 4 3" xfId="2977"/>
    <cellStyle name="Обычный 11 7 5" xfId="385"/>
    <cellStyle name="Обычный 11 7 5 2" xfId="2978"/>
    <cellStyle name="Обычный 11 7 5 2 2" xfId="6249"/>
    <cellStyle name="Обычный 11 7 5 3" xfId="2979"/>
    <cellStyle name="Обычный 11 7 6" xfId="2115"/>
    <cellStyle name="Обычный 11 7 6 2" xfId="2980"/>
    <cellStyle name="Обычный 11 7 7" xfId="2981"/>
    <cellStyle name="Обычный 11 7 8" xfId="6250"/>
    <cellStyle name="Обычный 11 8" xfId="386"/>
    <cellStyle name="Обычный 11 8 2" xfId="387"/>
    <cellStyle name="Обычный 11 8 2 2" xfId="388"/>
    <cellStyle name="Обычный 11 8 2 2 2" xfId="2982"/>
    <cellStyle name="Обычный 11 8 2 2 2 2" xfId="6251"/>
    <cellStyle name="Обычный 11 8 2 2 3" xfId="2983"/>
    <cellStyle name="Обычный 11 8 2 3" xfId="2984"/>
    <cellStyle name="Обычный 11 8 2 3 2" xfId="6252"/>
    <cellStyle name="Обычный 11 8 2 4" xfId="2985"/>
    <cellStyle name="Обычный 11 8 3" xfId="389"/>
    <cellStyle name="Обычный 11 8 3 2" xfId="2986"/>
    <cellStyle name="Обычный 11 8 3 2 2" xfId="6253"/>
    <cellStyle name="Обычный 11 8 3 3" xfId="2987"/>
    <cellStyle name="Обычный 11 8 4" xfId="390"/>
    <cellStyle name="Обычный 11 8 4 2" xfId="2988"/>
    <cellStyle name="Обычный 11 8 4 2 2" xfId="6254"/>
    <cellStyle name="Обычный 11 8 4 3" xfId="2989"/>
    <cellStyle name="Обычный 11 8 5" xfId="391"/>
    <cellStyle name="Обычный 11 8 5 2" xfId="2990"/>
    <cellStyle name="Обычный 11 8 5 2 2" xfId="6255"/>
    <cellStyle name="Обычный 11 8 5 3" xfId="2991"/>
    <cellStyle name="Обычный 11 8 6" xfId="2116"/>
    <cellStyle name="Обычный 11 8 6 2" xfId="2992"/>
    <cellStyle name="Обычный 11 8 7" xfId="2993"/>
    <cellStyle name="Обычный 11 8 8" xfId="6256"/>
    <cellStyle name="Обычный 11 9" xfId="392"/>
    <cellStyle name="Обычный 11 9 2" xfId="393"/>
    <cellStyle name="Обычный 11 9 2 2" xfId="2994"/>
    <cellStyle name="Обычный 11 9 2 2 2" xfId="6257"/>
    <cellStyle name="Обычный 11 9 2 3" xfId="2995"/>
    <cellStyle name="Обычный 11 9 3" xfId="2996"/>
    <cellStyle name="Обычный 11 9 3 2" xfId="6258"/>
    <cellStyle name="Обычный 11 9 4" xfId="2997"/>
    <cellStyle name="Обычный 11_Расчет скв 3П Яснополянской  БУ румынский  без ВСП от 09082019" xfId="1979"/>
    <cellStyle name="Обычный 12" xfId="394"/>
    <cellStyle name="Обычный 12 10" xfId="395"/>
    <cellStyle name="Обычный 12 10 2" xfId="2998"/>
    <cellStyle name="Обычный 12 10 2 2" xfId="6259"/>
    <cellStyle name="Обычный 12 10 3" xfId="2999"/>
    <cellStyle name="Обычный 12 11" xfId="396"/>
    <cellStyle name="Обычный 12 11 2" xfId="3000"/>
    <cellStyle name="Обычный 12 11 2 2" xfId="6260"/>
    <cellStyle name="Обычный 12 11 3" xfId="3001"/>
    <cellStyle name="Обычный 12 12" xfId="397"/>
    <cellStyle name="Обычный 12 12 2" xfId="3002"/>
    <cellStyle name="Обычный 12 12 2 2" xfId="6261"/>
    <cellStyle name="Обычный 12 12 3" xfId="3003"/>
    <cellStyle name="Обычный 12 13" xfId="2117"/>
    <cellStyle name="Обычный 12 13 2" xfId="3004"/>
    <cellStyle name="Обычный 12 14" xfId="3005"/>
    <cellStyle name="Обычный 12 15" xfId="6262"/>
    <cellStyle name="Обычный 12 2" xfId="398"/>
    <cellStyle name="Обычный 12 2 10" xfId="2118"/>
    <cellStyle name="Обычный 12 2 10 2" xfId="3006"/>
    <cellStyle name="Обычный 12 2 11" xfId="3007"/>
    <cellStyle name="Обычный 12 2 12" xfId="6263"/>
    <cellStyle name="Обычный 12 2 2" xfId="399"/>
    <cellStyle name="Обычный 12 2 2 2" xfId="400"/>
    <cellStyle name="Обычный 12 2 2 2 2" xfId="401"/>
    <cellStyle name="Обычный 12 2 2 2 2 2" xfId="402"/>
    <cellStyle name="Обычный 12 2 2 2 2 2 2" xfId="3008"/>
    <cellStyle name="Обычный 12 2 2 2 2 2 2 2" xfId="6264"/>
    <cellStyle name="Обычный 12 2 2 2 2 2 3" xfId="3009"/>
    <cellStyle name="Обычный 12 2 2 2 2 3" xfId="3010"/>
    <cellStyle name="Обычный 12 2 2 2 2 3 2" xfId="6265"/>
    <cellStyle name="Обычный 12 2 2 2 2 4" xfId="3011"/>
    <cellStyle name="Обычный 12 2 2 2 3" xfId="403"/>
    <cellStyle name="Обычный 12 2 2 2 3 2" xfId="3012"/>
    <cellStyle name="Обычный 12 2 2 2 3 2 2" xfId="6266"/>
    <cellStyle name="Обычный 12 2 2 2 3 3" xfId="3013"/>
    <cellStyle name="Обычный 12 2 2 2 4" xfId="404"/>
    <cellStyle name="Обычный 12 2 2 2 4 2" xfId="3014"/>
    <cellStyle name="Обычный 12 2 2 2 4 2 2" xfId="6267"/>
    <cellStyle name="Обычный 12 2 2 2 4 3" xfId="3015"/>
    <cellStyle name="Обычный 12 2 2 2 5" xfId="405"/>
    <cellStyle name="Обычный 12 2 2 2 5 2" xfId="3016"/>
    <cellStyle name="Обычный 12 2 2 2 5 2 2" xfId="6268"/>
    <cellStyle name="Обычный 12 2 2 2 5 3" xfId="3017"/>
    <cellStyle name="Обычный 12 2 2 2 6" xfId="2119"/>
    <cellStyle name="Обычный 12 2 2 2 6 2" xfId="3018"/>
    <cellStyle name="Обычный 12 2 2 2 7" xfId="3019"/>
    <cellStyle name="Обычный 12 2 2 2 8" xfId="6269"/>
    <cellStyle name="Обычный 12 2 2 3" xfId="406"/>
    <cellStyle name="Обычный 12 2 2 3 2" xfId="407"/>
    <cellStyle name="Обычный 12 2 2 3 2 2" xfId="3020"/>
    <cellStyle name="Обычный 12 2 2 3 2 2 2" xfId="6270"/>
    <cellStyle name="Обычный 12 2 2 3 2 3" xfId="3021"/>
    <cellStyle name="Обычный 12 2 2 3 3" xfId="3022"/>
    <cellStyle name="Обычный 12 2 2 3 3 2" xfId="6271"/>
    <cellStyle name="Обычный 12 2 2 3 4" xfId="3023"/>
    <cellStyle name="Обычный 12 2 2 4" xfId="408"/>
    <cellStyle name="Обычный 12 2 2 4 2" xfId="3024"/>
    <cellStyle name="Обычный 12 2 2 4 2 2" xfId="6272"/>
    <cellStyle name="Обычный 12 2 2 4 3" xfId="3025"/>
    <cellStyle name="Обычный 12 2 2 5" xfId="409"/>
    <cellStyle name="Обычный 12 2 2 5 2" xfId="3026"/>
    <cellStyle name="Обычный 12 2 2 5 2 2" xfId="6273"/>
    <cellStyle name="Обычный 12 2 2 5 3" xfId="3027"/>
    <cellStyle name="Обычный 12 2 2 6" xfId="410"/>
    <cellStyle name="Обычный 12 2 2 6 2" xfId="3028"/>
    <cellStyle name="Обычный 12 2 2 6 2 2" xfId="6274"/>
    <cellStyle name="Обычный 12 2 2 6 3" xfId="3029"/>
    <cellStyle name="Обычный 12 2 2 7" xfId="2120"/>
    <cellStyle name="Обычный 12 2 2 7 2" xfId="3030"/>
    <cellStyle name="Обычный 12 2 2 8" xfId="3031"/>
    <cellStyle name="Обычный 12 2 2 9" xfId="6275"/>
    <cellStyle name="Обычный 12 2 2_Расчет скв 3П Яснополянской  БУ румынский  без ВСП от 09082019" xfId="1980"/>
    <cellStyle name="Обычный 12 2 3" xfId="411"/>
    <cellStyle name="Обычный 12 2 3 2" xfId="412"/>
    <cellStyle name="Обычный 12 2 3 2 2" xfId="413"/>
    <cellStyle name="Обычный 12 2 3 2 2 2" xfId="3032"/>
    <cellStyle name="Обычный 12 2 3 2 2 2 2" xfId="6276"/>
    <cellStyle name="Обычный 12 2 3 2 2 3" xfId="3033"/>
    <cellStyle name="Обычный 12 2 3 2 3" xfId="3034"/>
    <cellStyle name="Обычный 12 2 3 2 3 2" xfId="6277"/>
    <cellStyle name="Обычный 12 2 3 2 4" xfId="3035"/>
    <cellStyle name="Обычный 12 2 3 3" xfId="414"/>
    <cellStyle name="Обычный 12 2 3 3 2" xfId="3036"/>
    <cellStyle name="Обычный 12 2 3 3 2 2" xfId="6278"/>
    <cellStyle name="Обычный 12 2 3 3 3" xfId="3037"/>
    <cellStyle name="Обычный 12 2 3 4" xfId="415"/>
    <cellStyle name="Обычный 12 2 3 4 2" xfId="3038"/>
    <cellStyle name="Обычный 12 2 3 4 2 2" xfId="6279"/>
    <cellStyle name="Обычный 12 2 3 4 3" xfId="3039"/>
    <cellStyle name="Обычный 12 2 3 5" xfId="416"/>
    <cellStyle name="Обычный 12 2 3 5 2" xfId="3040"/>
    <cellStyle name="Обычный 12 2 3 5 2 2" xfId="6280"/>
    <cellStyle name="Обычный 12 2 3 5 3" xfId="3041"/>
    <cellStyle name="Обычный 12 2 3 6" xfId="2121"/>
    <cellStyle name="Обычный 12 2 3 6 2" xfId="3042"/>
    <cellStyle name="Обычный 12 2 3 7" xfId="3043"/>
    <cellStyle name="Обычный 12 2 3 8" xfId="6281"/>
    <cellStyle name="Обычный 12 2 4" xfId="417"/>
    <cellStyle name="Обычный 12 2 4 2" xfId="418"/>
    <cellStyle name="Обычный 12 2 4 2 2" xfId="419"/>
    <cellStyle name="Обычный 12 2 4 2 2 2" xfId="3044"/>
    <cellStyle name="Обычный 12 2 4 2 2 2 2" xfId="6282"/>
    <cellStyle name="Обычный 12 2 4 2 2 3" xfId="3045"/>
    <cellStyle name="Обычный 12 2 4 2 3" xfId="3046"/>
    <cellStyle name="Обычный 12 2 4 2 3 2" xfId="6283"/>
    <cellStyle name="Обычный 12 2 4 2 4" xfId="3047"/>
    <cellStyle name="Обычный 12 2 4 3" xfId="420"/>
    <cellStyle name="Обычный 12 2 4 3 2" xfId="3048"/>
    <cellStyle name="Обычный 12 2 4 3 2 2" xfId="6284"/>
    <cellStyle name="Обычный 12 2 4 3 3" xfId="3049"/>
    <cellStyle name="Обычный 12 2 4 4" xfId="421"/>
    <cellStyle name="Обычный 12 2 4 4 2" xfId="3050"/>
    <cellStyle name="Обычный 12 2 4 4 2 2" xfId="6285"/>
    <cellStyle name="Обычный 12 2 4 4 3" xfId="3051"/>
    <cellStyle name="Обычный 12 2 4 5" xfId="422"/>
    <cellStyle name="Обычный 12 2 4 5 2" xfId="3052"/>
    <cellStyle name="Обычный 12 2 4 5 2 2" xfId="6286"/>
    <cellStyle name="Обычный 12 2 4 5 3" xfId="3053"/>
    <cellStyle name="Обычный 12 2 4 6" xfId="2122"/>
    <cellStyle name="Обычный 12 2 4 6 2" xfId="3054"/>
    <cellStyle name="Обычный 12 2 4 7" xfId="3055"/>
    <cellStyle name="Обычный 12 2 4 8" xfId="6287"/>
    <cellStyle name="Обычный 12 2 5" xfId="423"/>
    <cellStyle name="Обычный 12 2 5 2" xfId="424"/>
    <cellStyle name="Обычный 12 2 5 2 2" xfId="425"/>
    <cellStyle name="Обычный 12 2 5 2 2 2" xfId="3056"/>
    <cellStyle name="Обычный 12 2 5 2 2 2 2" xfId="6288"/>
    <cellStyle name="Обычный 12 2 5 2 2 3" xfId="3057"/>
    <cellStyle name="Обычный 12 2 5 2 3" xfId="3058"/>
    <cellStyle name="Обычный 12 2 5 2 3 2" xfId="6289"/>
    <cellStyle name="Обычный 12 2 5 2 4" xfId="3059"/>
    <cellStyle name="Обычный 12 2 5 3" xfId="426"/>
    <cellStyle name="Обычный 12 2 5 3 2" xfId="3060"/>
    <cellStyle name="Обычный 12 2 5 3 2 2" xfId="6290"/>
    <cellStyle name="Обычный 12 2 5 3 3" xfId="3061"/>
    <cellStyle name="Обычный 12 2 5 4" xfId="427"/>
    <cellStyle name="Обычный 12 2 5 4 2" xfId="3062"/>
    <cellStyle name="Обычный 12 2 5 4 2 2" xfId="6291"/>
    <cellStyle name="Обычный 12 2 5 4 3" xfId="3063"/>
    <cellStyle name="Обычный 12 2 5 5" xfId="428"/>
    <cellStyle name="Обычный 12 2 5 5 2" xfId="3064"/>
    <cellStyle name="Обычный 12 2 5 5 2 2" xfId="6292"/>
    <cellStyle name="Обычный 12 2 5 5 3" xfId="3065"/>
    <cellStyle name="Обычный 12 2 5 6" xfId="2123"/>
    <cellStyle name="Обычный 12 2 5 6 2" xfId="3066"/>
    <cellStyle name="Обычный 12 2 5 7" xfId="3067"/>
    <cellStyle name="Обычный 12 2 5 8" xfId="6293"/>
    <cellStyle name="Обычный 12 2 6" xfId="429"/>
    <cellStyle name="Обычный 12 2 6 2" xfId="430"/>
    <cellStyle name="Обычный 12 2 6 2 2" xfId="3068"/>
    <cellStyle name="Обычный 12 2 6 2 2 2" xfId="6294"/>
    <cellStyle name="Обычный 12 2 6 2 3" xfId="3069"/>
    <cellStyle name="Обычный 12 2 6 3" xfId="3070"/>
    <cellStyle name="Обычный 12 2 6 3 2" xfId="6295"/>
    <cellStyle name="Обычный 12 2 6 4" xfId="3071"/>
    <cellStyle name="Обычный 12 2 7" xfId="431"/>
    <cellStyle name="Обычный 12 2 7 2" xfId="3072"/>
    <cellStyle name="Обычный 12 2 7 2 2" xfId="6296"/>
    <cellStyle name="Обычный 12 2 7 3" xfId="3073"/>
    <cellStyle name="Обычный 12 2 8" xfId="432"/>
    <cellStyle name="Обычный 12 2 8 2" xfId="3074"/>
    <cellStyle name="Обычный 12 2 8 2 2" xfId="6297"/>
    <cellStyle name="Обычный 12 2 8 3" xfId="3075"/>
    <cellStyle name="Обычный 12 2 9" xfId="433"/>
    <cellStyle name="Обычный 12 2 9 2" xfId="3076"/>
    <cellStyle name="Обычный 12 2 9 2 2" xfId="6298"/>
    <cellStyle name="Обычный 12 2 9 3" xfId="3077"/>
    <cellStyle name="Обычный 12 2_Расчет скв 3П Яснополянской  БУ румынский  без ВСП от 09082019" xfId="1981"/>
    <cellStyle name="Обычный 12 3" xfId="434"/>
    <cellStyle name="Обычный 12 3 10" xfId="2124"/>
    <cellStyle name="Обычный 12 3 10 2" xfId="3078"/>
    <cellStyle name="Обычный 12 3 11" xfId="3079"/>
    <cellStyle name="Обычный 12 3 12" xfId="6299"/>
    <cellStyle name="Обычный 12 3 2" xfId="435"/>
    <cellStyle name="Обычный 12 3 2 2" xfId="436"/>
    <cellStyle name="Обычный 12 3 2 2 2" xfId="437"/>
    <cellStyle name="Обычный 12 3 2 2 2 2" xfId="438"/>
    <cellStyle name="Обычный 12 3 2 2 2 2 2" xfId="3080"/>
    <cellStyle name="Обычный 12 3 2 2 2 2 2 2" xfId="6300"/>
    <cellStyle name="Обычный 12 3 2 2 2 2 3" xfId="3081"/>
    <cellStyle name="Обычный 12 3 2 2 2 3" xfId="3082"/>
    <cellStyle name="Обычный 12 3 2 2 2 3 2" xfId="6301"/>
    <cellStyle name="Обычный 12 3 2 2 2 4" xfId="3083"/>
    <cellStyle name="Обычный 12 3 2 2 3" xfId="439"/>
    <cellStyle name="Обычный 12 3 2 2 3 2" xfId="3084"/>
    <cellStyle name="Обычный 12 3 2 2 3 2 2" xfId="6302"/>
    <cellStyle name="Обычный 12 3 2 2 3 3" xfId="3085"/>
    <cellStyle name="Обычный 12 3 2 2 4" xfId="440"/>
    <cellStyle name="Обычный 12 3 2 2 4 2" xfId="3086"/>
    <cellStyle name="Обычный 12 3 2 2 4 2 2" xfId="6303"/>
    <cellStyle name="Обычный 12 3 2 2 4 3" xfId="3087"/>
    <cellStyle name="Обычный 12 3 2 2 5" xfId="441"/>
    <cellStyle name="Обычный 12 3 2 2 5 2" xfId="3088"/>
    <cellStyle name="Обычный 12 3 2 2 5 2 2" xfId="6304"/>
    <cellStyle name="Обычный 12 3 2 2 5 3" xfId="3089"/>
    <cellStyle name="Обычный 12 3 2 2 6" xfId="2125"/>
    <cellStyle name="Обычный 12 3 2 2 6 2" xfId="3090"/>
    <cellStyle name="Обычный 12 3 2 2 7" xfId="3091"/>
    <cellStyle name="Обычный 12 3 2 2 8" xfId="6305"/>
    <cellStyle name="Обычный 12 3 2 3" xfId="442"/>
    <cellStyle name="Обычный 12 3 2 3 2" xfId="443"/>
    <cellStyle name="Обычный 12 3 2 3 2 2" xfId="3092"/>
    <cellStyle name="Обычный 12 3 2 3 2 2 2" xfId="6306"/>
    <cellStyle name="Обычный 12 3 2 3 2 3" xfId="3093"/>
    <cellStyle name="Обычный 12 3 2 3 3" xfId="3094"/>
    <cellStyle name="Обычный 12 3 2 3 3 2" xfId="6307"/>
    <cellStyle name="Обычный 12 3 2 3 4" xfId="3095"/>
    <cellStyle name="Обычный 12 3 2 4" xfId="444"/>
    <cellStyle name="Обычный 12 3 2 4 2" xfId="3096"/>
    <cellStyle name="Обычный 12 3 2 4 2 2" xfId="6308"/>
    <cellStyle name="Обычный 12 3 2 4 3" xfId="3097"/>
    <cellStyle name="Обычный 12 3 2 5" xfId="445"/>
    <cellStyle name="Обычный 12 3 2 5 2" xfId="3098"/>
    <cellStyle name="Обычный 12 3 2 5 2 2" xfId="6309"/>
    <cellStyle name="Обычный 12 3 2 5 3" xfId="3099"/>
    <cellStyle name="Обычный 12 3 2 6" xfId="446"/>
    <cellStyle name="Обычный 12 3 2 6 2" xfId="3100"/>
    <cellStyle name="Обычный 12 3 2 6 2 2" xfId="6310"/>
    <cellStyle name="Обычный 12 3 2 6 3" xfId="3101"/>
    <cellStyle name="Обычный 12 3 2 7" xfId="2126"/>
    <cellStyle name="Обычный 12 3 2 7 2" xfId="3102"/>
    <cellStyle name="Обычный 12 3 2 8" xfId="3103"/>
    <cellStyle name="Обычный 12 3 2 9" xfId="6311"/>
    <cellStyle name="Обычный 12 3 2_Расчет скв 3П Яснополянской  БУ румынский  без ВСП от 09082019" xfId="1982"/>
    <cellStyle name="Обычный 12 3 3" xfId="447"/>
    <cellStyle name="Обычный 12 3 3 2" xfId="448"/>
    <cellStyle name="Обычный 12 3 3 2 2" xfId="449"/>
    <cellStyle name="Обычный 12 3 3 2 2 2" xfId="3104"/>
    <cellStyle name="Обычный 12 3 3 2 2 2 2" xfId="6312"/>
    <cellStyle name="Обычный 12 3 3 2 2 3" xfId="3105"/>
    <cellStyle name="Обычный 12 3 3 2 3" xfId="3106"/>
    <cellStyle name="Обычный 12 3 3 2 3 2" xfId="6313"/>
    <cellStyle name="Обычный 12 3 3 2 4" xfId="3107"/>
    <cellStyle name="Обычный 12 3 3 3" xfId="450"/>
    <cellStyle name="Обычный 12 3 3 3 2" xfId="3108"/>
    <cellStyle name="Обычный 12 3 3 3 2 2" xfId="6314"/>
    <cellStyle name="Обычный 12 3 3 3 3" xfId="3109"/>
    <cellStyle name="Обычный 12 3 3 4" xfId="451"/>
    <cellStyle name="Обычный 12 3 3 4 2" xfId="3110"/>
    <cellStyle name="Обычный 12 3 3 4 2 2" xfId="6315"/>
    <cellStyle name="Обычный 12 3 3 4 3" xfId="3111"/>
    <cellStyle name="Обычный 12 3 3 5" xfId="452"/>
    <cellStyle name="Обычный 12 3 3 5 2" xfId="3112"/>
    <cellStyle name="Обычный 12 3 3 5 2 2" xfId="6316"/>
    <cellStyle name="Обычный 12 3 3 5 3" xfId="3113"/>
    <cellStyle name="Обычный 12 3 3 6" xfId="2127"/>
    <cellStyle name="Обычный 12 3 3 6 2" xfId="3114"/>
    <cellStyle name="Обычный 12 3 3 7" xfId="3115"/>
    <cellStyle name="Обычный 12 3 3 8" xfId="6317"/>
    <cellStyle name="Обычный 12 3 4" xfId="453"/>
    <cellStyle name="Обычный 12 3 4 2" xfId="454"/>
    <cellStyle name="Обычный 12 3 4 2 2" xfId="455"/>
    <cellStyle name="Обычный 12 3 4 2 2 2" xfId="3116"/>
    <cellStyle name="Обычный 12 3 4 2 2 2 2" xfId="6318"/>
    <cellStyle name="Обычный 12 3 4 2 2 3" xfId="3117"/>
    <cellStyle name="Обычный 12 3 4 2 3" xfId="3118"/>
    <cellStyle name="Обычный 12 3 4 2 3 2" xfId="6319"/>
    <cellStyle name="Обычный 12 3 4 2 4" xfId="3119"/>
    <cellStyle name="Обычный 12 3 4 3" xfId="456"/>
    <cellStyle name="Обычный 12 3 4 3 2" xfId="3120"/>
    <cellStyle name="Обычный 12 3 4 3 2 2" xfId="6320"/>
    <cellStyle name="Обычный 12 3 4 3 3" xfId="3121"/>
    <cellStyle name="Обычный 12 3 4 4" xfId="457"/>
    <cellStyle name="Обычный 12 3 4 4 2" xfId="3122"/>
    <cellStyle name="Обычный 12 3 4 4 2 2" xfId="6321"/>
    <cellStyle name="Обычный 12 3 4 4 3" xfId="3123"/>
    <cellStyle name="Обычный 12 3 4 5" xfId="458"/>
    <cellStyle name="Обычный 12 3 4 5 2" xfId="3124"/>
    <cellStyle name="Обычный 12 3 4 5 2 2" xfId="6322"/>
    <cellStyle name="Обычный 12 3 4 5 3" xfId="3125"/>
    <cellStyle name="Обычный 12 3 4 6" xfId="2128"/>
    <cellStyle name="Обычный 12 3 4 6 2" xfId="3126"/>
    <cellStyle name="Обычный 12 3 4 7" xfId="3127"/>
    <cellStyle name="Обычный 12 3 4 8" xfId="6323"/>
    <cellStyle name="Обычный 12 3 5" xfId="459"/>
    <cellStyle name="Обычный 12 3 5 2" xfId="460"/>
    <cellStyle name="Обычный 12 3 5 2 2" xfId="461"/>
    <cellStyle name="Обычный 12 3 5 2 2 2" xfId="3128"/>
    <cellStyle name="Обычный 12 3 5 2 2 2 2" xfId="6324"/>
    <cellStyle name="Обычный 12 3 5 2 2 3" xfId="3129"/>
    <cellStyle name="Обычный 12 3 5 2 3" xfId="3130"/>
    <cellStyle name="Обычный 12 3 5 2 3 2" xfId="6325"/>
    <cellStyle name="Обычный 12 3 5 2 4" xfId="3131"/>
    <cellStyle name="Обычный 12 3 5 3" xfId="462"/>
    <cellStyle name="Обычный 12 3 5 3 2" xfId="3132"/>
    <cellStyle name="Обычный 12 3 5 3 2 2" xfId="6326"/>
    <cellStyle name="Обычный 12 3 5 3 3" xfId="3133"/>
    <cellStyle name="Обычный 12 3 5 4" xfId="463"/>
    <cellStyle name="Обычный 12 3 5 4 2" xfId="3134"/>
    <cellStyle name="Обычный 12 3 5 4 2 2" xfId="6327"/>
    <cellStyle name="Обычный 12 3 5 4 3" xfId="3135"/>
    <cellStyle name="Обычный 12 3 5 5" xfId="464"/>
    <cellStyle name="Обычный 12 3 5 5 2" xfId="3136"/>
    <cellStyle name="Обычный 12 3 5 5 2 2" xfId="6328"/>
    <cellStyle name="Обычный 12 3 5 5 3" xfId="3137"/>
    <cellStyle name="Обычный 12 3 5 6" xfId="2129"/>
    <cellStyle name="Обычный 12 3 5 6 2" xfId="3138"/>
    <cellStyle name="Обычный 12 3 5 7" xfId="3139"/>
    <cellStyle name="Обычный 12 3 5 8" xfId="6329"/>
    <cellStyle name="Обычный 12 3 6" xfId="465"/>
    <cellStyle name="Обычный 12 3 6 2" xfId="466"/>
    <cellStyle name="Обычный 12 3 6 2 2" xfId="3140"/>
    <cellStyle name="Обычный 12 3 6 2 2 2" xfId="6330"/>
    <cellStyle name="Обычный 12 3 6 2 3" xfId="3141"/>
    <cellStyle name="Обычный 12 3 6 3" xfId="3142"/>
    <cellStyle name="Обычный 12 3 6 3 2" xfId="6331"/>
    <cellStyle name="Обычный 12 3 6 4" xfId="3143"/>
    <cellStyle name="Обычный 12 3 7" xfId="467"/>
    <cellStyle name="Обычный 12 3 7 2" xfId="3144"/>
    <cellStyle name="Обычный 12 3 7 2 2" xfId="6332"/>
    <cellStyle name="Обычный 12 3 7 3" xfId="3145"/>
    <cellStyle name="Обычный 12 3 8" xfId="468"/>
    <cellStyle name="Обычный 12 3 8 2" xfId="3146"/>
    <cellStyle name="Обычный 12 3 8 2 2" xfId="6333"/>
    <cellStyle name="Обычный 12 3 8 3" xfId="3147"/>
    <cellStyle name="Обычный 12 3 9" xfId="469"/>
    <cellStyle name="Обычный 12 3 9 2" xfId="3148"/>
    <cellStyle name="Обычный 12 3 9 2 2" xfId="6334"/>
    <cellStyle name="Обычный 12 3 9 3" xfId="3149"/>
    <cellStyle name="Обычный 12 3_Расчет скв 3П Яснополянской  БУ румынский  без ВСП от 09082019" xfId="1983"/>
    <cellStyle name="Обычный 12 4" xfId="470"/>
    <cellStyle name="Обычный 12 4 10" xfId="2130"/>
    <cellStyle name="Обычный 12 4 10 2" xfId="3150"/>
    <cellStyle name="Обычный 12 4 11" xfId="3151"/>
    <cellStyle name="Обычный 12 4 12" xfId="6335"/>
    <cellStyle name="Обычный 12 4 2" xfId="471"/>
    <cellStyle name="Обычный 12 4 2 2" xfId="472"/>
    <cellStyle name="Обычный 12 4 2 2 2" xfId="473"/>
    <cellStyle name="Обычный 12 4 2 2 2 2" xfId="474"/>
    <cellStyle name="Обычный 12 4 2 2 2 2 2" xfId="3152"/>
    <cellStyle name="Обычный 12 4 2 2 2 2 2 2" xfId="6336"/>
    <cellStyle name="Обычный 12 4 2 2 2 2 3" xfId="3153"/>
    <cellStyle name="Обычный 12 4 2 2 2 3" xfId="3154"/>
    <cellStyle name="Обычный 12 4 2 2 2 3 2" xfId="6337"/>
    <cellStyle name="Обычный 12 4 2 2 2 4" xfId="3155"/>
    <cellStyle name="Обычный 12 4 2 2 3" xfId="475"/>
    <cellStyle name="Обычный 12 4 2 2 3 2" xfId="3156"/>
    <cellStyle name="Обычный 12 4 2 2 3 2 2" xfId="6338"/>
    <cellStyle name="Обычный 12 4 2 2 3 3" xfId="3157"/>
    <cellStyle name="Обычный 12 4 2 2 4" xfId="476"/>
    <cellStyle name="Обычный 12 4 2 2 4 2" xfId="3158"/>
    <cellStyle name="Обычный 12 4 2 2 4 2 2" xfId="6339"/>
    <cellStyle name="Обычный 12 4 2 2 4 3" xfId="3159"/>
    <cellStyle name="Обычный 12 4 2 2 5" xfId="477"/>
    <cellStyle name="Обычный 12 4 2 2 5 2" xfId="3160"/>
    <cellStyle name="Обычный 12 4 2 2 5 2 2" xfId="6340"/>
    <cellStyle name="Обычный 12 4 2 2 5 3" xfId="3161"/>
    <cellStyle name="Обычный 12 4 2 2 6" xfId="2131"/>
    <cellStyle name="Обычный 12 4 2 2 6 2" xfId="3162"/>
    <cellStyle name="Обычный 12 4 2 2 7" xfId="3163"/>
    <cellStyle name="Обычный 12 4 2 2 8" xfId="6341"/>
    <cellStyle name="Обычный 12 4 2 3" xfId="478"/>
    <cellStyle name="Обычный 12 4 2 3 2" xfId="479"/>
    <cellStyle name="Обычный 12 4 2 3 2 2" xfId="3164"/>
    <cellStyle name="Обычный 12 4 2 3 2 2 2" xfId="6342"/>
    <cellStyle name="Обычный 12 4 2 3 2 3" xfId="3165"/>
    <cellStyle name="Обычный 12 4 2 3 3" xfId="3166"/>
    <cellStyle name="Обычный 12 4 2 3 3 2" xfId="6343"/>
    <cellStyle name="Обычный 12 4 2 3 4" xfId="3167"/>
    <cellStyle name="Обычный 12 4 2 4" xfId="480"/>
    <cellStyle name="Обычный 12 4 2 4 2" xfId="3168"/>
    <cellStyle name="Обычный 12 4 2 4 2 2" xfId="6344"/>
    <cellStyle name="Обычный 12 4 2 4 3" xfId="3169"/>
    <cellStyle name="Обычный 12 4 2 5" xfId="481"/>
    <cellStyle name="Обычный 12 4 2 5 2" xfId="3170"/>
    <cellStyle name="Обычный 12 4 2 5 2 2" xfId="6345"/>
    <cellStyle name="Обычный 12 4 2 5 3" xfId="3171"/>
    <cellStyle name="Обычный 12 4 2 6" xfId="482"/>
    <cellStyle name="Обычный 12 4 2 6 2" xfId="3172"/>
    <cellStyle name="Обычный 12 4 2 6 2 2" xfId="6346"/>
    <cellStyle name="Обычный 12 4 2 6 3" xfId="3173"/>
    <cellStyle name="Обычный 12 4 2 7" xfId="2132"/>
    <cellStyle name="Обычный 12 4 2 7 2" xfId="3174"/>
    <cellStyle name="Обычный 12 4 2 8" xfId="3175"/>
    <cellStyle name="Обычный 12 4 2 9" xfId="6347"/>
    <cellStyle name="Обычный 12 4 2_Расчет скв 3П Яснополянской  БУ румынский  без ВСП от 09082019" xfId="1984"/>
    <cellStyle name="Обычный 12 4 3" xfId="483"/>
    <cellStyle name="Обычный 12 4 3 2" xfId="484"/>
    <cellStyle name="Обычный 12 4 3 2 2" xfId="485"/>
    <cellStyle name="Обычный 12 4 3 2 2 2" xfId="3176"/>
    <cellStyle name="Обычный 12 4 3 2 2 2 2" xfId="6348"/>
    <cellStyle name="Обычный 12 4 3 2 2 3" xfId="3177"/>
    <cellStyle name="Обычный 12 4 3 2 3" xfId="3178"/>
    <cellStyle name="Обычный 12 4 3 2 3 2" xfId="6349"/>
    <cellStyle name="Обычный 12 4 3 2 4" xfId="3179"/>
    <cellStyle name="Обычный 12 4 3 3" xfId="486"/>
    <cellStyle name="Обычный 12 4 3 3 2" xfId="3180"/>
    <cellStyle name="Обычный 12 4 3 3 2 2" xfId="6350"/>
    <cellStyle name="Обычный 12 4 3 3 3" xfId="3181"/>
    <cellStyle name="Обычный 12 4 3 4" xfId="487"/>
    <cellStyle name="Обычный 12 4 3 4 2" xfId="3182"/>
    <cellStyle name="Обычный 12 4 3 4 2 2" xfId="6351"/>
    <cellStyle name="Обычный 12 4 3 4 3" xfId="3183"/>
    <cellStyle name="Обычный 12 4 3 5" xfId="488"/>
    <cellStyle name="Обычный 12 4 3 5 2" xfId="3184"/>
    <cellStyle name="Обычный 12 4 3 5 2 2" xfId="6352"/>
    <cellStyle name="Обычный 12 4 3 5 3" xfId="3185"/>
    <cellStyle name="Обычный 12 4 3 6" xfId="2133"/>
    <cellStyle name="Обычный 12 4 3 6 2" xfId="3186"/>
    <cellStyle name="Обычный 12 4 3 7" xfId="3187"/>
    <cellStyle name="Обычный 12 4 3 8" xfId="6353"/>
    <cellStyle name="Обычный 12 4 4" xfId="489"/>
    <cellStyle name="Обычный 12 4 4 2" xfId="490"/>
    <cellStyle name="Обычный 12 4 4 2 2" xfId="491"/>
    <cellStyle name="Обычный 12 4 4 2 2 2" xfId="3188"/>
    <cellStyle name="Обычный 12 4 4 2 2 2 2" xfId="6354"/>
    <cellStyle name="Обычный 12 4 4 2 2 3" xfId="3189"/>
    <cellStyle name="Обычный 12 4 4 2 3" xfId="3190"/>
    <cellStyle name="Обычный 12 4 4 2 3 2" xfId="6355"/>
    <cellStyle name="Обычный 12 4 4 2 4" xfId="3191"/>
    <cellStyle name="Обычный 12 4 4 3" xfId="492"/>
    <cellStyle name="Обычный 12 4 4 3 2" xfId="3192"/>
    <cellStyle name="Обычный 12 4 4 3 2 2" xfId="6356"/>
    <cellStyle name="Обычный 12 4 4 3 3" xfId="3193"/>
    <cellStyle name="Обычный 12 4 4 4" xfId="493"/>
    <cellStyle name="Обычный 12 4 4 4 2" xfId="3194"/>
    <cellStyle name="Обычный 12 4 4 4 2 2" xfId="6357"/>
    <cellStyle name="Обычный 12 4 4 4 3" xfId="3195"/>
    <cellStyle name="Обычный 12 4 4 5" xfId="494"/>
    <cellStyle name="Обычный 12 4 4 5 2" xfId="3196"/>
    <cellStyle name="Обычный 12 4 4 5 2 2" xfId="6358"/>
    <cellStyle name="Обычный 12 4 4 5 3" xfId="3197"/>
    <cellStyle name="Обычный 12 4 4 6" xfId="2134"/>
    <cellStyle name="Обычный 12 4 4 6 2" xfId="3198"/>
    <cellStyle name="Обычный 12 4 4 7" xfId="3199"/>
    <cellStyle name="Обычный 12 4 4 8" xfId="6359"/>
    <cellStyle name="Обычный 12 4 5" xfId="495"/>
    <cellStyle name="Обычный 12 4 5 2" xfId="496"/>
    <cellStyle name="Обычный 12 4 5 2 2" xfId="497"/>
    <cellStyle name="Обычный 12 4 5 2 2 2" xfId="3200"/>
    <cellStyle name="Обычный 12 4 5 2 2 2 2" xfId="6360"/>
    <cellStyle name="Обычный 12 4 5 2 2 3" xfId="3201"/>
    <cellStyle name="Обычный 12 4 5 2 3" xfId="3202"/>
    <cellStyle name="Обычный 12 4 5 2 3 2" xfId="6361"/>
    <cellStyle name="Обычный 12 4 5 2 4" xfId="3203"/>
    <cellStyle name="Обычный 12 4 5 3" xfId="498"/>
    <cellStyle name="Обычный 12 4 5 3 2" xfId="3204"/>
    <cellStyle name="Обычный 12 4 5 3 2 2" xfId="6362"/>
    <cellStyle name="Обычный 12 4 5 3 3" xfId="3205"/>
    <cellStyle name="Обычный 12 4 5 4" xfId="499"/>
    <cellStyle name="Обычный 12 4 5 4 2" xfId="3206"/>
    <cellStyle name="Обычный 12 4 5 4 2 2" xfId="6363"/>
    <cellStyle name="Обычный 12 4 5 4 3" xfId="3207"/>
    <cellStyle name="Обычный 12 4 5 5" xfId="500"/>
    <cellStyle name="Обычный 12 4 5 5 2" xfId="3208"/>
    <cellStyle name="Обычный 12 4 5 5 2 2" xfId="6364"/>
    <cellStyle name="Обычный 12 4 5 5 3" xfId="3209"/>
    <cellStyle name="Обычный 12 4 5 6" xfId="2135"/>
    <cellStyle name="Обычный 12 4 5 6 2" xfId="3210"/>
    <cellStyle name="Обычный 12 4 5 7" xfId="3211"/>
    <cellStyle name="Обычный 12 4 5 8" xfId="6365"/>
    <cellStyle name="Обычный 12 4 6" xfId="501"/>
    <cellStyle name="Обычный 12 4 6 2" xfId="502"/>
    <cellStyle name="Обычный 12 4 6 2 2" xfId="3212"/>
    <cellStyle name="Обычный 12 4 6 2 2 2" xfId="6366"/>
    <cellStyle name="Обычный 12 4 6 2 3" xfId="3213"/>
    <cellStyle name="Обычный 12 4 6 3" xfId="3214"/>
    <cellStyle name="Обычный 12 4 6 3 2" xfId="6367"/>
    <cellStyle name="Обычный 12 4 6 4" xfId="3215"/>
    <cellStyle name="Обычный 12 4 7" xfId="503"/>
    <cellStyle name="Обычный 12 4 7 2" xfId="3216"/>
    <cellStyle name="Обычный 12 4 7 2 2" xfId="6368"/>
    <cellStyle name="Обычный 12 4 7 3" xfId="3217"/>
    <cellStyle name="Обычный 12 4 8" xfId="504"/>
    <cellStyle name="Обычный 12 4 8 2" xfId="3218"/>
    <cellStyle name="Обычный 12 4 8 2 2" xfId="6369"/>
    <cellStyle name="Обычный 12 4 8 3" xfId="3219"/>
    <cellStyle name="Обычный 12 4 9" xfId="505"/>
    <cellStyle name="Обычный 12 4 9 2" xfId="3220"/>
    <cellStyle name="Обычный 12 4 9 2 2" xfId="6370"/>
    <cellStyle name="Обычный 12 4 9 3" xfId="3221"/>
    <cellStyle name="Обычный 12 4_Расчет скв 3П Яснополянской  БУ румынский  без ВСП от 09082019" xfId="1985"/>
    <cellStyle name="Обычный 12 5" xfId="506"/>
    <cellStyle name="Обычный 12 5 2" xfId="507"/>
    <cellStyle name="Обычный 12 5 2 2" xfId="508"/>
    <cellStyle name="Обычный 12 5 2 2 2" xfId="509"/>
    <cellStyle name="Обычный 12 5 2 2 2 2" xfId="3222"/>
    <cellStyle name="Обычный 12 5 2 2 2 2 2" xfId="6371"/>
    <cellStyle name="Обычный 12 5 2 2 2 3" xfId="3223"/>
    <cellStyle name="Обычный 12 5 2 2 3" xfId="3224"/>
    <cellStyle name="Обычный 12 5 2 2 3 2" xfId="6372"/>
    <cellStyle name="Обычный 12 5 2 2 4" xfId="3225"/>
    <cellStyle name="Обычный 12 5 2 3" xfId="510"/>
    <cellStyle name="Обычный 12 5 2 3 2" xfId="3226"/>
    <cellStyle name="Обычный 12 5 2 3 2 2" xfId="6373"/>
    <cellStyle name="Обычный 12 5 2 3 3" xfId="3227"/>
    <cellStyle name="Обычный 12 5 2 4" xfId="511"/>
    <cellStyle name="Обычный 12 5 2 4 2" xfId="3228"/>
    <cellStyle name="Обычный 12 5 2 4 2 2" xfId="6374"/>
    <cellStyle name="Обычный 12 5 2 4 3" xfId="3229"/>
    <cellStyle name="Обычный 12 5 2 5" xfId="512"/>
    <cellStyle name="Обычный 12 5 2 5 2" xfId="3230"/>
    <cellStyle name="Обычный 12 5 2 5 2 2" xfId="6375"/>
    <cellStyle name="Обычный 12 5 2 5 3" xfId="3231"/>
    <cellStyle name="Обычный 12 5 2 6" xfId="2136"/>
    <cellStyle name="Обычный 12 5 2 6 2" xfId="3232"/>
    <cellStyle name="Обычный 12 5 2 7" xfId="3233"/>
    <cellStyle name="Обычный 12 5 2 8" xfId="6376"/>
    <cellStyle name="Обычный 12 5 3" xfId="513"/>
    <cellStyle name="Обычный 12 5 3 2" xfId="514"/>
    <cellStyle name="Обычный 12 5 3 2 2" xfId="3234"/>
    <cellStyle name="Обычный 12 5 3 2 2 2" xfId="6377"/>
    <cellStyle name="Обычный 12 5 3 2 3" xfId="3235"/>
    <cellStyle name="Обычный 12 5 3 3" xfId="3236"/>
    <cellStyle name="Обычный 12 5 3 3 2" xfId="6378"/>
    <cellStyle name="Обычный 12 5 3 4" xfId="3237"/>
    <cellStyle name="Обычный 12 5 4" xfId="515"/>
    <cellStyle name="Обычный 12 5 4 2" xfId="3238"/>
    <cellStyle name="Обычный 12 5 4 2 2" xfId="6379"/>
    <cellStyle name="Обычный 12 5 4 3" xfId="3239"/>
    <cellStyle name="Обычный 12 5 5" xfId="516"/>
    <cellStyle name="Обычный 12 5 5 2" xfId="3240"/>
    <cellStyle name="Обычный 12 5 5 2 2" xfId="6380"/>
    <cellStyle name="Обычный 12 5 5 3" xfId="3241"/>
    <cellStyle name="Обычный 12 5 6" xfId="517"/>
    <cellStyle name="Обычный 12 5 6 2" xfId="3242"/>
    <cellStyle name="Обычный 12 5 6 2 2" xfId="6381"/>
    <cellStyle name="Обычный 12 5 6 3" xfId="3243"/>
    <cellStyle name="Обычный 12 5 7" xfId="2137"/>
    <cellStyle name="Обычный 12 5 7 2" xfId="3244"/>
    <cellStyle name="Обычный 12 5 8" xfId="3245"/>
    <cellStyle name="Обычный 12 5 9" xfId="6382"/>
    <cellStyle name="Обычный 12 5_Расчет скв 3П Яснополянской  БУ румынский  без ВСП от 09082019" xfId="1986"/>
    <cellStyle name="Обычный 12 6" xfId="518"/>
    <cellStyle name="Обычный 12 6 2" xfId="519"/>
    <cellStyle name="Обычный 12 6 2 2" xfId="520"/>
    <cellStyle name="Обычный 12 6 2 2 2" xfId="3246"/>
    <cellStyle name="Обычный 12 6 2 2 2 2" xfId="6383"/>
    <cellStyle name="Обычный 12 6 2 2 3" xfId="3247"/>
    <cellStyle name="Обычный 12 6 2 3" xfId="3248"/>
    <cellStyle name="Обычный 12 6 2 3 2" xfId="6384"/>
    <cellStyle name="Обычный 12 6 2 4" xfId="3249"/>
    <cellStyle name="Обычный 12 6 3" xfId="521"/>
    <cellStyle name="Обычный 12 6 3 2" xfId="3250"/>
    <cellStyle name="Обычный 12 6 3 2 2" xfId="6385"/>
    <cellStyle name="Обычный 12 6 3 3" xfId="3251"/>
    <cellStyle name="Обычный 12 6 4" xfId="522"/>
    <cellStyle name="Обычный 12 6 4 2" xfId="3252"/>
    <cellStyle name="Обычный 12 6 4 2 2" xfId="6386"/>
    <cellStyle name="Обычный 12 6 4 3" xfId="3253"/>
    <cellStyle name="Обычный 12 6 5" xfId="523"/>
    <cellStyle name="Обычный 12 6 5 2" xfId="3254"/>
    <cellStyle name="Обычный 12 6 5 2 2" xfId="6387"/>
    <cellStyle name="Обычный 12 6 5 3" xfId="3255"/>
    <cellStyle name="Обычный 12 6 6" xfId="2138"/>
    <cellStyle name="Обычный 12 6 6 2" xfId="3256"/>
    <cellStyle name="Обычный 12 6 7" xfId="3257"/>
    <cellStyle name="Обычный 12 6 8" xfId="6388"/>
    <cellStyle name="Обычный 12 7" xfId="524"/>
    <cellStyle name="Обычный 12 7 2" xfId="525"/>
    <cellStyle name="Обычный 12 7 2 2" xfId="526"/>
    <cellStyle name="Обычный 12 7 2 2 2" xfId="3258"/>
    <cellStyle name="Обычный 12 7 2 2 2 2" xfId="6389"/>
    <cellStyle name="Обычный 12 7 2 2 3" xfId="3259"/>
    <cellStyle name="Обычный 12 7 2 3" xfId="3260"/>
    <cellStyle name="Обычный 12 7 2 3 2" xfId="6390"/>
    <cellStyle name="Обычный 12 7 2 4" xfId="3261"/>
    <cellStyle name="Обычный 12 7 3" xfId="527"/>
    <cellStyle name="Обычный 12 7 3 2" xfId="3262"/>
    <cellStyle name="Обычный 12 7 3 2 2" xfId="6391"/>
    <cellStyle name="Обычный 12 7 3 3" xfId="3263"/>
    <cellStyle name="Обычный 12 7 4" xfId="528"/>
    <cellStyle name="Обычный 12 7 4 2" xfId="3264"/>
    <cellStyle name="Обычный 12 7 4 2 2" xfId="6392"/>
    <cellStyle name="Обычный 12 7 4 3" xfId="3265"/>
    <cellStyle name="Обычный 12 7 5" xfId="529"/>
    <cellStyle name="Обычный 12 7 5 2" xfId="3266"/>
    <cellStyle name="Обычный 12 7 5 2 2" xfId="6393"/>
    <cellStyle name="Обычный 12 7 5 3" xfId="3267"/>
    <cellStyle name="Обычный 12 7 6" xfId="2139"/>
    <cellStyle name="Обычный 12 7 6 2" xfId="3268"/>
    <cellStyle name="Обычный 12 7 7" xfId="3269"/>
    <cellStyle name="Обычный 12 7 8" xfId="6394"/>
    <cellStyle name="Обычный 12 8" xfId="530"/>
    <cellStyle name="Обычный 12 8 2" xfId="531"/>
    <cellStyle name="Обычный 12 8 2 2" xfId="532"/>
    <cellStyle name="Обычный 12 8 2 2 2" xfId="3270"/>
    <cellStyle name="Обычный 12 8 2 2 2 2" xfId="6395"/>
    <cellStyle name="Обычный 12 8 2 2 3" xfId="3271"/>
    <cellStyle name="Обычный 12 8 2 3" xfId="3272"/>
    <cellStyle name="Обычный 12 8 2 3 2" xfId="6396"/>
    <cellStyle name="Обычный 12 8 2 4" xfId="3273"/>
    <cellStyle name="Обычный 12 8 3" xfId="533"/>
    <cellStyle name="Обычный 12 8 3 2" xfId="3274"/>
    <cellStyle name="Обычный 12 8 3 2 2" xfId="6397"/>
    <cellStyle name="Обычный 12 8 3 3" xfId="3275"/>
    <cellStyle name="Обычный 12 8 4" xfId="534"/>
    <cellStyle name="Обычный 12 8 4 2" xfId="3276"/>
    <cellStyle name="Обычный 12 8 4 2 2" xfId="6398"/>
    <cellStyle name="Обычный 12 8 4 3" xfId="3277"/>
    <cellStyle name="Обычный 12 8 5" xfId="535"/>
    <cellStyle name="Обычный 12 8 5 2" xfId="3278"/>
    <cellStyle name="Обычный 12 8 5 2 2" xfId="6399"/>
    <cellStyle name="Обычный 12 8 5 3" xfId="3279"/>
    <cellStyle name="Обычный 12 8 6" xfId="2140"/>
    <cellStyle name="Обычный 12 8 6 2" xfId="3280"/>
    <cellStyle name="Обычный 12 8 7" xfId="3281"/>
    <cellStyle name="Обычный 12 8 8" xfId="6400"/>
    <cellStyle name="Обычный 12 9" xfId="536"/>
    <cellStyle name="Обычный 12 9 2" xfId="537"/>
    <cellStyle name="Обычный 12 9 2 2" xfId="3282"/>
    <cellStyle name="Обычный 12 9 2 2 2" xfId="6401"/>
    <cellStyle name="Обычный 12 9 2 3" xfId="3283"/>
    <cellStyle name="Обычный 12 9 3" xfId="3284"/>
    <cellStyle name="Обычный 12 9 3 2" xfId="6402"/>
    <cellStyle name="Обычный 12 9 4" xfId="3285"/>
    <cellStyle name="Обычный 12_Расчет скв 3П Яснополянской  БУ румынский  без ВСП от 09082019" xfId="1987"/>
    <cellStyle name="Обычный 13" xfId="538"/>
    <cellStyle name="Обычный 13 10" xfId="539"/>
    <cellStyle name="Обычный 13 10 2" xfId="3286"/>
    <cellStyle name="Обычный 13 10 2 2" xfId="6403"/>
    <cellStyle name="Обычный 13 10 3" xfId="3287"/>
    <cellStyle name="Обычный 13 11" xfId="540"/>
    <cellStyle name="Обычный 13 11 2" xfId="3288"/>
    <cellStyle name="Обычный 13 11 2 2" xfId="6404"/>
    <cellStyle name="Обычный 13 11 3" xfId="3289"/>
    <cellStyle name="Обычный 13 12" xfId="541"/>
    <cellStyle name="Обычный 13 12 2" xfId="3290"/>
    <cellStyle name="Обычный 13 12 2 2" xfId="6405"/>
    <cellStyle name="Обычный 13 12 3" xfId="3291"/>
    <cellStyle name="Обычный 13 13" xfId="2141"/>
    <cellStyle name="Обычный 13 13 2" xfId="3292"/>
    <cellStyle name="Обычный 13 14" xfId="3293"/>
    <cellStyle name="Обычный 13 15" xfId="6406"/>
    <cellStyle name="Обычный 13 2" xfId="542"/>
    <cellStyle name="Обычный 13 2 10" xfId="2142"/>
    <cellStyle name="Обычный 13 2 10 2" xfId="3294"/>
    <cellStyle name="Обычный 13 2 11" xfId="3295"/>
    <cellStyle name="Обычный 13 2 12" xfId="6407"/>
    <cellStyle name="Обычный 13 2 2" xfId="543"/>
    <cellStyle name="Обычный 13 2 2 2" xfId="544"/>
    <cellStyle name="Обычный 13 2 2 2 2" xfId="545"/>
    <cellStyle name="Обычный 13 2 2 2 2 2" xfId="546"/>
    <cellStyle name="Обычный 13 2 2 2 2 2 2" xfId="3296"/>
    <cellStyle name="Обычный 13 2 2 2 2 2 2 2" xfId="6408"/>
    <cellStyle name="Обычный 13 2 2 2 2 2 3" xfId="3297"/>
    <cellStyle name="Обычный 13 2 2 2 2 3" xfId="3298"/>
    <cellStyle name="Обычный 13 2 2 2 2 3 2" xfId="6409"/>
    <cellStyle name="Обычный 13 2 2 2 2 4" xfId="3299"/>
    <cellStyle name="Обычный 13 2 2 2 3" xfId="547"/>
    <cellStyle name="Обычный 13 2 2 2 3 2" xfId="3300"/>
    <cellStyle name="Обычный 13 2 2 2 3 2 2" xfId="6410"/>
    <cellStyle name="Обычный 13 2 2 2 3 3" xfId="3301"/>
    <cellStyle name="Обычный 13 2 2 2 4" xfId="548"/>
    <cellStyle name="Обычный 13 2 2 2 4 2" xfId="3302"/>
    <cellStyle name="Обычный 13 2 2 2 4 2 2" xfId="6411"/>
    <cellStyle name="Обычный 13 2 2 2 4 3" xfId="3303"/>
    <cellStyle name="Обычный 13 2 2 2 5" xfId="549"/>
    <cellStyle name="Обычный 13 2 2 2 5 2" xfId="3304"/>
    <cellStyle name="Обычный 13 2 2 2 5 2 2" xfId="6412"/>
    <cellStyle name="Обычный 13 2 2 2 5 3" xfId="3305"/>
    <cellStyle name="Обычный 13 2 2 2 6" xfId="2143"/>
    <cellStyle name="Обычный 13 2 2 2 6 2" xfId="3306"/>
    <cellStyle name="Обычный 13 2 2 2 7" xfId="3307"/>
    <cellStyle name="Обычный 13 2 2 2 8" xfId="6413"/>
    <cellStyle name="Обычный 13 2 2 3" xfId="550"/>
    <cellStyle name="Обычный 13 2 2 3 2" xfId="551"/>
    <cellStyle name="Обычный 13 2 2 3 2 2" xfId="3308"/>
    <cellStyle name="Обычный 13 2 2 3 2 2 2" xfId="6414"/>
    <cellStyle name="Обычный 13 2 2 3 2 3" xfId="3309"/>
    <cellStyle name="Обычный 13 2 2 3 3" xfId="3310"/>
    <cellStyle name="Обычный 13 2 2 3 3 2" xfId="6415"/>
    <cellStyle name="Обычный 13 2 2 3 4" xfId="3311"/>
    <cellStyle name="Обычный 13 2 2 4" xfId="552"/>
    <cellStyle name="Обычный 13 2 2 4 2" xfId="3312"/>
    <cellStyle name="Обычный 13 2 2 4 2 2" xfId="6416"/>
    <cellStyle name="Обычный 13 2 2 4 3" xfId="3313"/>
    <cellStyle name="Обычный 13 2 2 5" xfId="553"/>
    <cellStyle name="Обычный 13 2 2 5 2" xfId="3314"/>
    <cellStyle name="Обычный 13 2 2 5 2 2" xfId="6417"/>
    <cellStyle name="Обычный 13 2 2 5 3" xfId="3315"/>
    <cellStyle name="Обычный 13 2 2 6" xfId="554"/>
    <cellStyle name="Обычный 13 2 2 6 2" xfId="3316"/>
    <cellStyle name="Обычный 13 2 2 6 2 2" xfId="6418"/>
    <cellStyle name="Обычный 13 2 2 6 3" xfId="3317"/>
    <cellStyle name="Обычный 13 2 2 7" xfId="2144"/>
    <cellStyle name="Обычный 13 2 2 7 2" xfId="3318"/>
    <cellStyle name="Обычный 13 2 2 8" xfId="3319"/>
    <cellStyle name="Обычный 13 2 2 9" xfId="6419"/>
    <cellStyle name="Обычный 13 2 2_Расчет скв 3П Яснополянской  БУ румынский  без ВСП от 09082019" xfId="1988"/>
    <cellStyle name="Обычный 13 2 3" xfId="555"/>
    <cellStyle name="Обычный 13 2 3 2" xfId="556"/>
    <cellStyle name="Обычный 13 2 3 2 2" xfId="557"/>
    <cellStyle name="Обычный 13 2 3 2 2 2" xfId="3320"/>
    <cellStyle name="Обычный 13 2 3 2 2 2 2" xfId="6420"/>
    <cellStyle name="Обычный 13 2 3 2 2 3" xfId="3321"/>
    <cellStyle name="Обычный 13 2 3 2 3" xfId="3322"/>
    <cellStyle name="Обычный 13 2 3 2 3 2" xfId="6421"/>
    <cellStyle name="Обычный 13 2 3 2 4" xfId="3323"/>
    <cellStyle name="Обычный 13 2 3 3" xfId="558"/>
    <cellStyle name="Обычный 13 2 3 3 2" xfId="3324"/>
    <cellStyle name="Обычный 13 2 3 3 2 2" xfId="6422"/>
    <cellStyle name="Обычный 13 2 3 3 3" xfId="3325"/>
    <cellStyle name="Обычный 13 2 3 4" xfId="559"/>
    <cellStyle name="Обычный 13 2 3 4 2" xfId="3326"/>
    <cellStyle name="Обычный 13 2 3 4 2 2" xfId="6423"/>
    <cellStyle name="Обычный 13 2 3 4 3" xfId="3327"/>
    <cellStyle name="Обычный 13 2 3 5" xfId="560"/>
    <cellStyle name="Обычный 13 2 3 5 2" xfId="3328"/>
    <cellStyle name="Обычный 13 2 3 5 2 2" xfId="6424"/>
    <cellStyle name="Обычный 13 2 3 5 3" xfId="3329"/>
    <cellStyle name="Обычный 13 2 3 6" xfId="2145"/>
    <cellStyle name="Обычный 13 2 3 6 2" xfId="3330"/>
    <cellStyle name="Обычный 13 2 3 7" xfId="3331"/>
    <cellStyle name="Обычный 13 2 3 8" xfId="6425"/>
    <cellStyle name="Обычный 13 2 4" xfId="561"/>
    <cellStyle name="Обычный 13 2 4 2" xfId="562"/>
    <cellStyle name="Обычный 13 2 4 2 2" xfId="563"/>
    <cellStyle name="Обычный 13 2 4 2 2 2" xfId="3332"/>
    <cellStyle name="Обычный 13 2 4 2 2 2 2" xfId="6426"/>
    <cellStyle name="Обычный 13 2 4 2 2 3" xfId="3333"/>
    <cellStyle name="Обычный 13 2 4 2 3" xfId="3334"/>
    <cellStyle name="Обычный 13 2 4 2 3 2" xfId="6427"/>
    <cellStyle name="Обычный 13 2 4 2 4" xfId="3335"/>
    <cellStyle name="Обычный 13 2 4 3" xfId="564"/>
    <cellStyle name="Обычный 13 2 4 3 2" xfId="3336"/>
    <cellStyle name="Обычный 13 2 4 3 2 2" xfId="6428"/>
    <cellStyle name="Обычный 13 2 4 3 3" xfId="3337"/>
    <cellStyle name="Обычный 13 2 4 4" xfId="565"/>
    <cellStyle name="Обычный 13 2 4 4 2" xfId="3338"/>
    <cellStyle name="Обычный 13 2 4 4 2 2" xfId="6429"/>
    <cellStyle name="Обычный 13 2 4 4 3" xfId="3339"/>
    <cellStyle name="Обычный 13 2 4 5" xfId="566"/>
    <cellStyle name="Обычный 13 2 4 5 2" xfId="3340"/>
    <cellStyle name="Обычный 13 2 4 5 2 2" xfId="6430"/>
    <cellStyle name="Обычный 13 2 4 5 3" xfId="3341"/>
    <cellStyle name="Обычный 13 2 4 6" xfId="2146"/>
    <cellStyle name="Обычный 13 2 4 6 2" xfId="3342"/>
    <cellStyle name="Обычный 13 2 4 7" xfId="3343"/>
    <cellStyle name="Обычный 13 2 4 8" xfId="6431"/>
    <cellStyle name="Обычный 13 2 5" xfId="567"/>
    <cellStyle name="Обычный 13 2 5 2" xfId="568"/>
    <cellStyle name="Обычный 13 2 5 2 2" xfId="569"/>
    <cellStyle name="Обычный 13 2 5 2 2 2" xfId="3344"/>
    <cellStyle name="Обычный 13 2 5 2 2 2 2" xfId="6432"/>
    <cellStyle name="Обычный 13 2 5 2 2 3" xfId="3345"/>
    <cellStyle name="Обычный 13 2 5 2 3" xfId="3346"/>
    <cellStyle name="Обычный 13 2 5 2 3 2" xfId="6433"/>
    <cellStyle name="Обычный 13 2 5 2 4" xfId="3347"/>
    <cellStyle name="Обычный 13 2 5 3" xfId="570"/>
    <cellStyle name="Обычный 13 2 5 3 2" xfId="3348"/>
    <cellStyle name="Обычный 13 2 5 3 2 2" xfId="6434"/>
    <cellStyle name="Обычный 13 2 5 3 3" xfId="3349"/>
    <cellStyle name="Обычный 13 2 5 4" xfId="571"/>
    <cellStyle name="Обычный 13 2 5 4 2" xfId="3350"/>
    <cellStyle name="Обычный 13 2 5 4 2 2" xfId="6435"/>
    <cellStyle name="Обычный 13 2 5 4 3" xfId="3351"/>
    <cellStyle name="Обычный 13 2 5 5" xfId="572"/>
    <cellStyle name="Обычный 13 2 5 5 2" xfId="3352"/>
    <cellStyle name="Обычный 13 2 5 5 2 2" xfId="6436"/>
    <cellStyle name="Обычный 13 2 5 5 3" xfId="3353"/>
    <cellStyle name="Обычный 13 2 5 6" xfId="2147"/>
    <cellStyle name="Обычный 13 2 5 6 2" xfId="3354"/>
    <cellStyle name="Обычный 13 2 5 7" xfId="3355"/>
    <cellStyle name="Обычный 13 2 5 8" xfId="6437"/>
    <cellStyle name="Обычный 13 2 6" xfId="573"/>
    <cellStyle name="Обычный 13 2 6 2" xfId="574"/>
    <cellStyle name="Обычный 13 2 6 2 2" xfId="3356"/>
    <cellStyle name="Обычный 13 2 6 2 2 2" xfId="6438"/>
    <cellStyle name="Обычный 13 2 6 2 3" xfId="3357"/>
    <cellStyle name="Обычный 13 2 6 3" xfId="3358"/>
    <cellStyle name="Обычный 13 2 6 3 2" xfId="6439"/>
    <cellStyle name="Обычный 13 2 6 4" xfId="3359"/>
    <cellStyle name="Обычный 13 2 7" xfId="575"/>
    <cellStyle name="Обычный 13 2 7 2" xfId="3360"/>
    <cellStyle name="Обычный 13 2 7 2 2" xfId="6440"/>
    <cellStyle name="Обычный 13 2 7 3" xfId="3361"/>
    <cellStyle name="Обычный 13 2 8" xfId="576"/>
    <cellStyle name="Обычный 13 2 8 2" xfId="3362"/>
    <cellStyle name="Обычный 13 2 8 2 2" xfId="6441"/>
    <cellStyle name="Обычный 13 2 8 3" xfId="3363"/>
    <cellStyle name="Обычный 13 2 9" xfId="577"/>
    <cellStyle name="Обычный 13 2 9 2" xfId="3364"/>
    <cellStyle name="Обычный 13 2 9 2 2" xfId="6442"/>
    <cellStyle name="Обычный 13 2 9 3" xfId="3365"/>
    <cellStyle name="Обычный 13 2_Расчет скв 3П Яснополянской  БУ румынский  без ВСП от 09082019" xfId="1989"/>
    <cellStyle name="Обычный 13 3" xfId="578"/>
    <cellStyle name="Обычный 13 3 10" xfId="2148"/>
    <cellStyle name="Обычный 13 3 10 2" xfId="3366"/>
    <cellStyle name="Обычный 13 3 11" xfId="3367"/>
    <cellStyle name="Обычный 13 3 12" xfId="6443"/>
    <cellStyle name="Обычный 13 3 2" xfId="579"/>
    <cellStyle name="Обычный 13 3 2 2" xfId="580"/>
    <cellStyle name="Обычный 13 3 2 2 2" xfId="581"/>
    <cellStyle name="Обычный 13 3 2 2 2 2" xfId="582"/>
    <cellStyle name="Обычный 13 3 2 2 2 2 2" xfId="3368"/>
    <cellStyle name="Обычный 13 3 2 2 2 2 2 2" xfId="6444"/>
    <cellStyle name="Обычный 13 3 2 2 2 2 3" xfId="3369"/>
    <cellStyle name="Обычный 13 3 2 2 2 3" xfId="3370"/>
    <cellStyle name="Обычный 13 3 2 2 2 3 2" xfId="6445"/>
    <cellStyle name="Обычный 13 3 2 2 2 4" xfId="3371"/>
    <cellStyle name="Обычный 13 3 2 2 3" xfId="583"/>
    <cellStyle name="Обычный 13 3 2 2 3 2" xfId="3372"/>
    <cellStyle name="Обычный 13 3 2 2 3 2 2" xfId="6446"/>
    <cellStyle name="Обычный 13 3 2 2 3 3" xfId="3373"/>
    <cellStyle name="Обычный 13 3 2 2 4" xfId="584"/>
    <cellStyle name="Обычный 13 3 2 2 4 2" xfId="3374"/>
    <cellStyle name="Обычный 13 3 2 2 4 2 2" xfId="6447"/>
    <cellStyle name="Обычный 13 3 2 2 4 3" xfId="3375"/>
    <cellStyle name="Обычный 13 3 2 2 5" xfId="585"/>
    <cellStyle name="Обычный 13 3 2 2 5 2" xfId="3376"/>
    <cellStyle name="Обычный 13 3 2 2 5 2 2" xfId="6448"/>
    <cellStyle name="Обычный 13 3 2 2 5 3" xfId="3377"/>
    <cellStyle name="Обычный 13 3 2 2 6" xfId="2149"/>
    <cellStyle name="Обычный 13 3 2 2 6 2" xfId="3378"/>
    <cellStyle name="Обычный 13 3 2 2 7" xfId="3379"/>
    <cellStyle name="Обычный 13 3 2 2 8" xfId="6449"/>
    <cellStyle name="Обычный 13 3 2 3" xfId="586"/>
    <cellStyle name="Обычный 13 3 2 3 2" xfId="587"/>
    <cellStyle name="Обычный 13 3 2 3 2 2" xfId="3380"/>
    <cellStyle name="Обычный 13 3 2 3 2 2 2" xfId="6450"/>
    <cellStyle name="Обычный 13 3 2 3 2 3" xfId="3381"/>
    <cellStyle name="Обычный 13 3 2 3 3" xfId="3382"/>
    <cellStyle name="Обычный 13 3 2 3 3 2" xfId="6451"/>
    <cellStyle name="Обычный 13 3 2 3 4" xfId="3383"/>
    <cellStyle name="Обычный 13 3 2 4" xfId="588"/>
    <cellStyle name="Обычный 13 3 2 4 2" xfId="3384"/>
    <cellStyle name="Обычный 13 3 2 4 2 2" xfId="6452"/>
    <cellStyle name="Обычный 13 3 2 4 3" xfId="3385"/>
    <cellStyle name="Обычный 13 3 2 5" xfId="589"/>
    <cellStyle name="Обычный 13 3 2 5 2" xfId="3386"/>
    <cellStyle name="Обычный 13 3 2 5 2 2" xfId="6453"/>
    <cellStyle name="Обычный 13 3 2 5 3" xfId="3387"/>
    <cellStyle name="Обычный 13 3 2 6" xfId="590"/>
    <cellStyle name="Обычный 13 3 2 6 2" xfId="3388"/>
    <cellStyle name="Обычный 13 3 2 6 2 2" xfId="6454"/>
    <cellStyle name="Обычный 13 3 2 6 3" xfId="3389"/>
    <cellStyle name="Обычный 13 3 2 7" xfId="2150"/>
    <cellStyle name="Обычный 13 3 2 7 2" xfId="3390"/>
    <cellStyle name="Обычный 13 3 2 8" xfId="3391"/>
    <cellStyle name="Обычный 13 3 2 9" xfId="6455"/>
    <cellStyle name="Обычный 13 3 2_Расчет скв 3П Яснополянской  БУ румынский  без ВСП от 09082019" xfId="1990"/>
    <cellStyle name="Обычный 13 3 3" xfId="591"/>
    <cellStyle name="Обычный 13 3 3 2" xfId="592"/>
    <cellStyle name="Обычный 13 3 3 2 2" xfId="593"/>
    <cellStyle name="Обычный 13 3 3 2 2 2" xfId="3392"/>
    <cellStyle name="Обычный 13 3 3 2 2 2 2" xfId="6456"/>
    <cellStyle name="Обычный 13 3 3 2 2 3" xfId="3393"/>
    <cellStyle name="Обычный 13 3 3 2 3" xfId="3394"/>
    <cellStyle name="Обычный 13 3 3 2 3 2" xfId="6457"/>
    <cellStyle name="Обычный 13 3 3 2 4" xfId="3395"/>
    <cellStyle name="Обычный 13 3 3 3" xfId="594"/>
    <cellStyle name="Обычный 13 3 3 3 2" xfId="3396"/>
    <cellStyle name="Обычный 13 3 3 3 2 2" xfId="6458"/>
    <cellStyle name="Обычный 13 3 3 3 3" xfId="3397"/>
    <cellStyle name="Обычный 13 3 3 4" xfId="595"/>
    <cellStyle name="Обычный 13 3 3 4 2" xfId="3398"/>
    <cellStyle name="Обычный 13 3 3 4 2 2" xfId="6459"/>
    <cellStyle name="Обычный 13 3 3 4 3" xfId="3399"/>
    <cellStyle name="Обычный 13 3 3 5" xfId="596"/>
    <cellStyle name="Обычный 13 3 3 5 2" xfId="3400"/>
    <cellStyle name="Обычный 13 3 3 5 2 2" xfId="6460"/>
    <cellStyle name="Обычный 13 3 3 5 3" xfId="3401"/>
    <cellStyle name="Обычный 13 3 3 6" xfId="2151"/>
    <cellStyle name="Обычный 13 3 3 6 2" xfId="3402"/>
    <cellStyle name="Обычный 13 3 3 7" xfId="3403"/>
    <cellStyle name="Обычный 13 3 3 8" xfId="6461"/>
    <cellStyle name="Обычный 13 3 4" xfId="597"/>
    <cellStyle name="Обычный 13 3 4 2" xfId="598"/>
    <cellStyle name="Обычный 13 3 4 2 2" xfId="599"/>
    <cellStyle name="Обычный 13 3 4 2 2 2" xfId="3404"/>
    <cellStyle name="Обычный 13 3 4 2 2 2 2" xfId="6462"/>
    <cellStyle name="Обычный 13 3 4 2 2 3" xfId="3405"/>
    <cellStyle name="Обычный 13 3 4 2 3" xfId="3406"/>
    <cellStyle name="Обычный 13 3 4 2 3 2" xfId="6463"/>
    <cellStyle name="Обычный 13 3 4 2 4" xfId="3407"/>
    <cellStyle name="Обычный 13 3 4 3" xfId="600"/>
    <cellStyle name="Обычный 13 3 4 3 2" xfId="3408"/>
    <cellStyle name="Обычный 13 3 4 3 2 2" xfId="6464"/>
    <cellStyle name="Обычный 13 3 4 3 3" xfId="3409"/>
    <cellStyle name="Обычный 13 3 4 4" xfId="601"/>
    <cellStyle name="Обычный 13 3 4 4 2" xfId="3410"/>
    <cellStyle name="Обычный 13 3 4 4 2 2" xfId="6465"/>
    <cellStyle name="Обычный 13 3 4 4 3" xfId="3411"/>
    <cellStyle name="Обычный 13 3 4 5" xfId="602"/>
    <cellStyle name="Обычный 13 3 4 5 2" xfId="3412"/>
    <cellStyle name="Обычный 13 3 4 5 2 2" xfId="6466"/>
    <cellStyle name="Обычный 13 3 4 5 3" xfId="3413"/>
    <cellStyle name="Обычный 13 3 4 6" xfId="2152"/>
    <cellStyle name="Обычный 13 3 4 6 2" xfId="3414"/>
    <cellStyle name="Обычный 13 3 4 7" xfId="3415"/>
    <cellStyle name="Обычный 13 3 4 8" xfId="6467"/>
    <cellStyle name="Обычный 13 3 5" xfId="603"/>
    <cellStyle name="Обычный 13 3 5 2" xfId="604"/>
    <cellStyle name="Обычный 13 3 5 2 2" xfId="605"/>
    <cellStyle name="Обычный 13 3 5 2 2 2" xfId="3416"/>
    <cellStyle name="Обычный 13 3 5 2 2 2 2" xfId="6468"/>
    <cellStyle name="Обычный 13 3 5 2 2 3" xfId="3417"/>
    <cellStyle name="Обычный 13 3 5 2 3" xfId="3418"/>
    <cellStyle name="Обычный 13 3 5 2 3 2" xfId="6469"/>
    <cellStyle name="Обычный 13 3 5 2 4" xfId="3419"/>
    <cellStyle name="Обычный 13 3 5 3" xfId="606"/>
    <cellStyle name="Обычный 13 3 5 3 2" xfId="3420"/>
    <cellStyle name="Обычный 13 3 5 3 2 2" xfId="6470"/>
    <cellStyle name="Обычный 13 3 5 3 3" xfId="3421"/>
    <cellStyle name="Обычный 13 3 5 4" xfId="607"/>
    <cellStyle name="Обычный 13 3 5 4 2" xfId="3422"/>
    <cellStyle name="Обычный 13 3 5 4 2 2" xfId="6471"/>
    <cellStyle name="Обычный 13 3 5 4 3" xfId="3423"/>
    <cellStyle name="Обычный 13 3 5 5" xfId="608"/>
    <cellStyle name="Обычный 13 3 5 5 2" xfId="3424"/>
    <cellStyle name="Обычный 13 3 5 5 2 2" xfId="6472"/>
    <cellStyle name="Обычный 13 3 5 5 3" xfId="3425"/>
    <cellStyle name="Обычный 13 3 5 6" xfId="2153"/>
    <cellStyle name="Обычный 13 3 5 6 2" xfId="3426"/>
    <cellStyle name="Обычный 13 3 5 7" xfId="3427"/>
    <cellStyle name="Обычный 13 3 5 8" xfId="6473"/>
    <cellStyle name="Обычный 13 3 6" xfId="609"/>
    <cellStyle name="Обычный 13 3 6 2" xfId="610"/>
    <cellStyle name="Обычный 13 3 6 2 2" xfId="3428"/>
    <cellStyle name="Обычный 13 3 6 2 2 2" xfId="6474"/>
    <cellStyle name="Обычный 13 3 6 2 3" xfId="3429"/>
    <cellStyle name="Обычный 13 3 6 3" xfId="3430"/>
    <cellStyle name="Обычный 13 3 6 3 2" xfId="6475"/>
    <cellStyle name="Обычный 13 3 6 4" xfId="3431"/>
    <cellStyle name="Обычный 13 3 7" xfId="611"/>
    <cellStyle name="Обычный 13 3 7 2" xfId="3432"/>
    <cellStyle name="Обычный 13 3 7 2 2" xfId="6476"/>
    <cellStyle name="Обычный 13 3 7 3" xfId="3433"/>
    <cellStyle name="Обычный 13 3 8" xfId="612"/>
    <cellStyle name="Обычный 13 3 8 2" xfId="3434"/>
    <cellStyle name="Обычный 13 3 8 2 2" xfId="6477"/>
    <cellStyle name="Обычный 13 3 8 3" xfId="3435"/>
    <cellStyle name="Обычный 13 3 9" xfId="613"/>
    <cellStyle name="Обычный 13 3 9 2" xfId="3436"/>
    <cellStyle name="Обычный 13 3 9 2 2" xfId="6478"/>
    <cellStyle name="Обычный 13 3 9 3" xfId="3437"/>
    <cellStyle name="Обычный 13 3_Расчет скв 3П Яснополянской  БУ румынский  без ВСП от 09082019" xfId="1991"/>
    <cellStyle name="Обычный 13 4" xfId="614"/>
    <cellStyle name="Обычный 13 4 10" xfId="2154"/>
    <cellStyle name="Обычный 13 4 10 2" xfId="3438"/>
    <cellStyle name="Обычный 13 4 11" xfId="3439"/>
    <cellStyle name="Обычный 13 4 12" xfId="6479"/>
    <cellStyle name="Обычный 13 4 2" xfId="615"/>
    <cellStyle name="Обычный 13 4 2 2" xfId="616"/>
    <cellStyle name="Обычный 13 4 2 2 2" xfId="617"/>
    <cellStyle name="Обычный 13 4 2 2 2 2" xfId="618"/>
    <cellStyle name="Обычный 13 4 2 2 2 2 2" xfId="3440"/>
    <cellStyle name="Обычный 13 4 2 2 2 2 2 2" xfId="6480"/>
    <cellStyle name="Обычный 13 4 2 2 2 2 3" xfId="3441"/>
    <cellStyle name="Обычный 13 4 2 2 2 3" xfId="3442"/>
    <cellStyle name="Обычный 13 4 2 2 2 3 2" xfId="6481"/>
    <cellStyle name="Обычный 13 4 2 2 2 4" xfId="3443"/>
    <cellStyle name="Обычный 13 4 2 2 3" xfId="619"/>
    <cellStyle name="Обычный 13 4 2 2 3 2" xfId="3444"/>
    <cellStyle name="Обычный 13 4 2 2 3 2 2" xfId="6482"/>
    <cellStyle name="Обычный 13 4 2 2 3 3" xfId="3445"/>
    <cellStyle name="Обычный 13 4 2 2 4" xfId="620"/>
    <cellStyle name="Обычный 13 4 2 2 4 2" xfId="3446"/>
    <cellStyle name="Обычный 13 4 2 2 4 2 2" xfId="6483"/>
    <cellStyle name="Обычный 13 4 2 2 4 3" xfId="3447"/>
    <cellStyle name="Обычный 13 4 2 2 5" xfId="621"/>
    <cellStyle name="Обычный 13 4 2 2 5 2" xfId="3448"/>
    <cellStyle name="Обычный 13 4 2 2 5 2 2" xfId="6484"/>
    <cellStyle name="Обычный 13 4 2 2 5 3" xfId="3449"/>
    <cellStyle name="Обычный 13 4 2 2 6" xfId="2155"/>
    <cellStyle name="Обычный 13 4 2 2 6 2" xfId="3450"/>
    <cellStyle name="Обычный 13 4 2 2 7" xfId="3451"/>
    <cellStyle name="Обычный 13 4 2 2 8" xfId="6485"/>
    <cellStyle name="Обычный 13 4 2 3" xfId="622"/>
    <cellStyle name="Обычный 13 4 2 3 2" xfId="623"/>
    <cellStyle name="Обычный 13 4 2 3 2 2" xfId="3452"/>
    <cellStyle name="Обычный 13 4 2 3 2 2 2" xfId="6486"/>
    <cellStyle name="Обычный 13 4 2 3 2 3" xfId="3453"/>
    <cellStyle name="Обычный 13 4 2 3 3" xfId="3454"/>
    <cellStyle name="Обычный 13 4 2 3 3 2" xfId="6487"/>
    <cellStyle name="Обычный 13 4 2 3 4" xfId="3455"/>
    <cellStyle name="Обычный 13 4 2 4" xfId="624"/>
    <cellStyle name="Обычный 13 4 2 4 2" xfId="3456"/>
    <cellStyle name="Обычный 13 4 2 4 2 2" xfId="6488"/>
    <cellStyle name="Обычный 13 4 2 4 3" xfId="3457"/>
    <cellStyle name="Обычный 13 4 2 5" xfId="625"/>
    <cellStyle name="Обычный 13 4 2 5 2" xfId="3458"/>
    <cellStyle name="Обычный 13 4 2 5 2 2" xfId="6489"/>
    <cellStyle name="Обычный 13 4 2 5 3" xfId="3459"/>
    <cellStyle name="Обычный 13 4 2 6" xfId="626"/>
    <cellStyle name="Обычный 13 4 2 6 2" xfId="3460"/>
    <cellStyle name="Обычный 13 4 2 6 2 2" xfId="6490"/>
    <cellStyle name="Обычный 13 4 2 6 3" xfId="3461"/>
    <cellStyle name="Обычный 13 4 2 7" xfId="2156"/>
    <cellStyle name="Обычный 13 4 2 7 2" xfId="3462"/>
    <cellStyle name="Обычный 13 4 2 8" xfId="3463"/>
    <cellStyle name="Обычный 13 4 2 9" xfId="6491"/>
    <cellStyle name="Обычный 13 4 2_Расчет скв 3П Яснополянской  БУ румынский  без ВСП от 09082019" xfId="1992"/>
    <cellStyle name="Обычный 13 4 3" xfId="627"/>
    <cellStyle name="Обычный 13 4 3 2" xfId="628"/>
    <cellStyle name="Обычный 13 4 3 2 2" xfId="629"/>
    <cellStyle name="Обычный 13 4 3 2 2 2" xfId="3464"/>
    <cellStyle name="Обычный 13 4 3 2 2 2 2" xfId="6492"/>
    <cellStyle name="Обычный 13 4 3 2 2 3" xfId="3465"/>
    <cellStyle name="Обычный 13 4 3 2 3" xfId="3466"/>
    <cellStyle name="Обычный 13 4 3 2 3 2" xfId="6493"/>
    <cellStyle name="Обычный 13 4 3 2 4" xfId="3467"/>
    <cellStyle name="Обычный 13 4 3 3" xfId="630"/>
    <cellStyle name="Обычный 13 4 3 3 2" xfId="3468"/>
    <cellStyle name="Обычный 13 4 3 3 2 2" xfId="6494"/>
    <cellStyle name="Обычный 13 4 3 3 3" xfId="3469"/>
    <cellStyle name="Обычный 13 4 3 4" xfId="631"/>
    <cellStyle name="Обычный 13 4 3 4 2" xfId="3470"/>
    <cellStyle name="Обычный 13 4 3 4 2 2" xfId="6495"/>
    <cellStyle name="Обычный 13 4 3 4 3" xfId="3471"/>
    <cellStyle name="Обычный 13 4 3 5" xfId="632"/>
    <cellStyle name="Обычный 13 4 3 5 2" xfId="3472"/>
    <cellStyle name="Обычный 13 4 3 5 2 2" xfId="6496"/>
    <cellStyle name="Обычный 13 4 3 5 3" xfId="3473"/>
    <cellStyle name="Обычный 13 4 3 6" xfId="2157"/>
    <cellStyle name="Обычный 13 4 3 6 2" xfId="3474"/>
    <cellStyle name="Обычный 13 4 3 7" xfId="3475"/>
    <cellStyle name="Обычный 13 4 3 8" xfId="6497"/>
    <cellStyle name="Обычный 13 4 4" xfId="633"/>
    <cellStyle name="Обычный 13 4 4 2" xfId="634"/>
    <cellStyle name="Обычный 13 4 4 2 2" xfId="635"/>
    <cellStyle name="Обычный 13 4 4 2 2 2" xfId="3476"/>
    <cellStyle name="Обычный 13 4 4 2 2 2 2" xfId="6498"/>
    <cellStyle name="Обычный 13 4 4 2 2 3" xfId="3477"/>
    <cellStyle name="Обычный 13 4 4 2 3" xfId="3478"/>
    <cellStyle name="Обычный 13 4 4 2 3 2" xfId="6499"/>
    <cellStyle name="Обычный 13 4 4 2 4" xfId="3479"/>
    <cellStyle name="Обычный 13 4 4 3" xfId="636"/>
    <cellStyle name="Обычный 13 4 4 3 2" xfId="3480"/>
    <cellStyle name="Обычный 13 4 4 3 2 2" xfId="6500"/>
    <cellStyle name="Обычный 13 4 4 3 3" xfId="3481"/>
    <cellStyle name="Обычный 13 4 4 4" xfId="637"/>
    <cellStyle name="Обычный 13 4 4 4 2" xfId="3482"/>
    <cellStyle name="Обычный 13 4 4 4 2 2" xfId="6501"/>
    <cellStyle name="Обычный 13 4 4 4 3" xfId="3483"/>
    <cellStyle name="Обычный 13 4 4 5" xfId="638"/>
    <cellStyle name="Обычный 13 4 4 5 2" xfId="3484"/>
    <cellStyle name="Обычный 13 4 4 5 2 2" xfId="6502"/>
    <cellStyle name="Обычный 13 4 4 5 3" xfId="3485"/>
    <cellStyle name="Обычный 13 4 4 6" xfId="2158"/>
    <cellStyle name="Обычный 13 4 4 6 2" xfId="3486"/>
    <cellStyle name="Обычный 13 4 4 7" xfId="3487"/>
    <cellStyle name="Обычный 13 4 4 8" xfId="6503"/>
    <cellStyle name="Обычный 13 4 5" xfId="639"/>
    <cellStyle name="Обычный 13 4 5 2" xfId="640"/>
    <cellStyle name="Обычный 13 4 5 2 2" xfId="641"/>
    <cellStyle name="Обычный 13 4 5 2 2 2" xfId="3488"/>
    <cellStyle name="Обычный 13 4 5 2 2 2 2" xfId="6504"/>
    <cellStyle name="Обычный 13 4 5 2 2 3" xfId="3489"/>
    <cellStyle name="Обычный 13 4 5 2 3" xfId="3490"/>
    <cellStyle name="Обычный 13 4 5 2 3 2" xfId="6505"/>
    <cellStyle name="Обычный 13 4 5 2 4" xfId="3491"/>
    <cellStyle name="Обычный 13 4 5 3" xfId="642"/>
    <cellStyle name="Обычный 13 4 5 3 2" xfId="3492"/>
    <cellStyle name="Обычный 13 4 5 3 2 2" xfId="6506"/>
    <cellStyle name="Обычный 13 4 5 3 3" xfId="3493"/>
    <cellStyle name="Обычный 13 4 5 4" xfId="643"/>
    <cellStyle name="Обычный 13 4 5 4 2" xfId="3494"/>
    <cellStyle name="Обычный 13 4 5 4 2 2" xfId="6507"/>
    <cellStyle name="Обычный 13 4 5 4 3" xfId="3495"/>
    <cellStyle name="Обычный 13 4 5 5" xfId="644"/>
    <cellStyle name="Обычный 13 4 5 5 2" xfId="3496"/>
    <cellStyle name="Обычный 13 4 5 5 2 2" xfId="6508"/>
    <cellStyle name="Обычный 13 4 5 5 3" xfId="3497"/>
    <cellStyle name="Обычный 13 4 5 6" xfId="2159"/>
    <cellStyle name="Обычный 13 4 5 6 2" xfId="3498"/>
    <cellStyle name="Обычный 13 4 5 7" xfId="3499"/>
    <cellStyle name="Обычный 13 4 5 8" xfId="6509"/>
    <cellStyle name="Обычный 13 4 6" xfId="645"/>
    <cellStyle name="Обычный 13 4 6 2" xfId="646"/>
    <cellStyle name="Обычный 13 4 6 2 2" xfId="3500"/>
    <cellStyle name="Обычный 13 4 6 2 2 2" xfId="6510"/>
    <cellStyle name="Обычный 13 4 6 2 3" xfId="3501"/>
    <cellStyle name="Обычный 13 4 6 3" xfId="3502"/>
    <cellStyle name="Обычный 13 4 6 3 2" xfId="6511"/>
    <cellStyle name="Обычный 13 4 6 4" xfId="3503"/>
    <cellStyle name="Обычный 13 4 7" xfId="647"/>
    <cellStyle name="Обычный 13 4 7 2" xfId="3504"/>
    <cellStyle name="Обычный 13 4 7 2 2" xfId="6512"/>
    <cellStyle name="Обычный 13 4 7 3" xfId="3505"/>
    <cellStyle name="Обычный 13 4 8" xfId="648"/>
    <cellStyle name="Обычный 13 4 8 2" xfId="3506"/>
    <cellStyle name="Обычный 13 4 8 2 2" xfId="6513"/>
    <cellStyle name="Обычный 13 4 8 3" xfId="3507"/>
    <cellStyle name="Обычный 13 4 9" xfId="649"/>
    <cellStyle name="Обычный 13 4 9 2" xfId="3508"/>
    <cellStyle name="Обычный 13 4 9 2 2" xfId="6514"/>
    <cellStyle name="Обычный 13 4 9 3" xfId="3509"/>
    <cellStyle name="Обычный 13 4_Расчет скв 3П Яснополянской  БУ румынский  без ВСП от 09082019" xfId="1993"/>
    <cellStyle name="Обычный 13 5" xfId="650"/>
    <cellStyle name="Обычный 13 5 2" xfId="651"/>
    <cellStyle name="Обычный 13 5 2 2" xfId="652"/>
    <cellStyle name="Обычный 13 5 2 2 2" xfId="653"/>
    <cellStyle name="Обычный 13 5 2 2 2 2" xfId="3510"/>
    <cellStyle name="Обычный 13 5 2 2 2 2 2" xfId="6515"/>
    <cellStyle name="Обычный 13 5 2 2 2 3" xfId="3511"/>
    <cellStyle name="Обычный 13 5 2 2 3" xfId="3512"/>
    <cellStyle name="Обычный 13 5 2 2 3 2" xfId="6516"/>
    <cellStyle name="Обычный 13 5 2 2 4" xfId="3513"/>
    <cellStyle name="Обычный 13 5 2 3" xfId="654"/>
    <cellStyle name="Обычный 13 5 2 3 2" xfId="3514"/>
    <cellStyle name="Обычный 13 5 2 3 2 2" xfId="6517"/>
    <cellStyle name="Обычный 13 5 2 3 3" xfId="3515"/>
    <cellStyle name="Обычный 13 5 2 4" xfId="655"/>
    <cellStyle name="Обычный 13 5 2 4 2" xfId="3516"/>
    <cellStyle name="Обычный 13 5 2 4 2 2" xfId="6518"/>
    <cellStyle name="Обычный 13 5 2 4 3" xfId="3517"/>
    <cellStyle name="Обычный 13 5 2 5" xfId="656"/>
    <cellStyle name="Обычный 13 5 2 5 2" xfId="3518"/>
    <cellStyle name="Обычный 13 5 2 5 2 2" xfId="6519"/>
    <cellStyle name="Обычный 13 5 2 5 3" xfId="3519"/>
    <cellStyle name="Обычный 13 5 2 6" xfId="2160"/>
    <cellStyle name="Обычный 13 5 2 6 2" xfId="3520"/>
    <cellStyle name="Обычный 13 5 2 7" xfId="3521"/>
    <cellStyle name="Обычный 13 5 2 8" xfId="6520"/>
    <cellStyle name="Обычный 13 5 3" xfId="657"/>
    <cellStyle name="Обычный 13 5 3 2" xfId="658"/>
    <cellStyle name="Обычный 13 5 3 2 2" xfId="3522"/>
    <cellStyle name="Обычный 13 5 3 2 2 2" xfId="6521"/>
    <cellStyle name="Обычный 13 5 3 2 3" xfId="3523"/>
    <cellStyle name="Обычный 13 5 3 3" xfId="3524"/>
    <cellStyle name="Обычный 13 5 3 3 2" xfId="6522"/>
    <cellStyle name="Обычный 13 5 3 4" xfId="3525"/>
    <cellStyle name="Обычный 13 5 4" xfId="659"/>
    <cellStyle name="Обычный 13 5 4 2" xfId="3526"/>
    <cellStyle name="Обычный 13 5 4 2 2" xfId="6523"/>
    <cellStyle name="Обычный 13 5 4 3" xfId="3527"/>
    <cellStyle name="Обычный 13 5 5" xfId="660"/>
    <cellStyle name="Обычный 13 5 5 2" xfId="3528"/>
    <cellStyle name="Обычный 13 5 5 2 2" xfId="6524"/>
    <cellStyle name="Обычный 13 5 5 3" xfId="3529"/>
    <cellStyle name="Обычный 13 5 6" xfId="661"/>
    <cellStyle name="Обычный 13 5 6 2" xfId="3530"/>
    <cellStyle name="Обычный 13 5 6 2 2" xfId="6525"/>
    <cellStyle name="Обычный 13 5 6 3" xfId="3531"/>
    <cellStyle name="Обычный 13 5 7" xfId="2161"/>
    <cellStyle name="Обычный 13 5 7 2" xfId="3532"/>
    <cellStyle name="Обычный 13 5 8" xfId="3533"/>
    <cellStyle name="Обычный 13 5 9" xfId="6526"/>
    <cellStyle name="Обычный 13 5_Расчет скв 3П Яснополянской  БУ румынский  без ВСП от 09082019" xfId="1994"/>
    <cellStyle name="Обычный 13 6" xfId="662"/>
    <cellStyle name="Обычный 13 6 2" xfId="663"/>
    <cellStyle name="Обычный 13 6 2 2" xfId="664"/>
    <cellStyle name="Обычный 13 6 2 2 2" xfId="3534"/>
    <cellStyle name="Обычный 13 6 2 2 2 2" xfId="6527"/>
    <cellStyle name="Обычный 13 6 2 2 3" xfId="3535"/>
    <cellStyle name="Обычный 13 6 2 3" xfId="3536"/>
    <cellStyle name="Обычный 13 6 2 3 2" xfId="6528"/>
    <cellStyle name="Обычный 13 6 2 4" xfId="3537"/>
    <cellStyle name="Обычный 13 6 3" xfId="665"/>
    <cellStyle name="Обычный 13 6 3 2" xfId="3538"/>
    <cellStyle name="Обычный 13 6 3 2 2" xfId="6529"/>
    <cellStyle name="Обычный 13 6 3 3" xfId="3539"/>
    <cellStyle name="Обычный 13 6 4" xfId="666"/>
    <cellStyle name="Обычный 13 6 4 2" xfId="3540"/>
    <cellStyle name="Обычный 13 6 4 2 2" xfId="6530"/>
    <cellStyle name="Обычный 13 6 4 3" xfId="3541"/>
    <cellStyle name="Обычный 13 6 5" xfId="667"/>
    <cellStyle name="Обычный 13 6 5 2" xfId="3542"/>
    <cellStyle name="Обычный 13 6 5 2 2" xfId="6531"/>
    <cellStyle name="Обычный 13 6 5 3" xfId="3543"/>
    <cellStyle name="Обычный 13 6 6" xfId="2162"/>
    <cellStyle name="Обычный 13 6 6 2" xfId="3544"/>
    <cellStyle name="Обычный 13 6 7" xfId="3545"/>
    <cellStyle name="Обычный 13 6 8" xfId="6532"/>
    <cellStyle name="Обычный 13 7" xfId="668"/>
    <cellStyle name="Обычный 13 7 2" xfId="669"/>
    <cellStyle name="Обычный 13 7 2 2" xfId="670"/>
    <cellStyle name="Обычный 13 7 2 2 2" xfId="3546"/>
    <cellStyle name="Обычный 13 7 2 2 2 2" xfId="6533"/>
    <cellStyle name="Обычный 13 7 2 2 3" xfId="3547"/>
    <cellStyle name="Обычный 13 7 2 3" xfId="3548"/>
    <cellStyle name="Обычный 13 7 2 3 2" xfId="6534"/>
    <cellStyle name="Обычный 13 7 2 4" xfId="3549"/>
    <cellStyle name="Обычный 13 7 3" xfId="671"/>
    <cellStyle name="Обычный 13 7 3 2" xfId="3550"/>
    <cellStyle name="Обычный 13 7 3 2 2" xfId="6535"/>
    <cellStyle name="Обычный 13 7 3 3" xfId="3551"/>
    <cellStyle name="Обычный 13 7 4" xfId="672"/>
    <cellStyle name="Обычный 13 7 4 2" xfId="3552"/>
    <cellStyle name="Обычный 13 7 4 2 2" xfId="6536"/>
    <cellStyle name="Обычный 13 7 4 3" xfId="3553"/>
    <cellStyle name="Обычный 13 7 5" xfId="673"/>
    <cellStyle name="Обычный 13 7 5 2" xfId="3554"/>
    <cellStyle name="Обычный 13 7 5 2 2" xfId="6537"/>
    <cellStyle name="Обычный 13 7 5 3" xfId="3555"/>
    <cellStyle name="Обычный 13 7 6" xfId="2163"/>
    <cellStyle name="Обычный 13 7 6 2" xfId="3556"/>
    <cellStyle name="Обычный 13 7 7" xfId="3557"/>
    <cellStyle name="Обычный 13 7 8" xfId="6538"/>
    <cellStyle name="Обычный 13 8" xfId="674"/>
    <cellStyle name="Обычный 13 8 2" xfId="675"/>
    <cellStyle name="Обычный 13 8 2 2" xfId="676"/>
    <cellStyle name="Обычный 13 8 2 2 2" xfId="3558"/>
    <cellStyle name="Обычный 13 8 2 2 2 2" xfId="6539"/>
    <cellStyle name="Обычный 13 8 2 2 3" xfId="3559"/>
    <cellStyle name="Обычный 13 8 2 3" xfId="3560"/>
    <cellStyle name="Обычный 13 8 2 3 2" xfId="6540"/>
    <cellStyle name="Обычный 13 8 2 4" xfId="3561"/>
    <cellStyle name="Обычный 13 8 3" xfId="677"/>
    <cellStyle name="Обычный 13 8 3 2" xfId="3562"/>
    <cellStyle name="Обычный 13 8 3 2 2" xfId="6541"/>
    <cellStyle name="Обычный 13 8 3 3" xfId="3563"/>
    <cellStyle name="Обычный 13 8 4" xfId="678"/>
    <cellStyle name="Обычный 13 8 4 2" xfId="3564"/>
    <cellStyle name="Обычный 13 8 4 2 2" xfId="6542"/>
    <cellStyle name="Обычный 13 8 4 3" xfId="3565"/>
    <cellStyle name="Обычный 13 8 5" xfId="679"/>
    <cellStyle name="Обычный 13 8 5 2" xfId="3566"/>
    <cellStyle name="Обычный 13 8 5 2 2" xfId="6543"/>
    <cellStyle name="Обычный 13 8 5 3" xfId="3567"/>
    <cellStyle name="Обычный 13 8 6" xfId="2164"/>
    <cellStyle name="Обычный 13 8 6 2" xfId="3568"/>
    <cellStyle name="Обычный 13 8 7" xfId="3569"/>
    <cellStyle name="Обычный 13 8 8" xfId="6544"/>
    <cellStyle name="Обычный 13 9" xfId="680"/>
    <cellStyle name="Обычный 13 9 2" xfId="681"/>
    <cellStyle name="Обычный 13 9 2 2" xfId="3570"/>
    <cellStyle name="Обычный 13 9 2 2 2" xfId="6545"/>
    <cellStyle name="Обычный 13 9 2 3" xfId="3571"/>
    <cellStyle name="Обычный 13 9 3" xfId="3572"/>
    <cellStyle name="Обычный 13 9 3 2" xfId="6546"/>
    <cellStyle name="Обычный 13 9 4" xfId="3573"/>
    <cellStyle name="Обычный 13_Расчет скв 3П Яснополянской  БУ румынский  без ВСП от 09082019" xfId="1995"/>
    <cellStyle name="Обычный 14" xfId="682"/>
    <cellStyle name="Обычный 14 10" xfId="683"/>
    <cellStyle name="Обычный 14 10 2" xfId="3574"/>
    <cellStyle name="Обычный 14 10 2 2" xfId="6547"/>
    <cellStyle name="Обычный 14 10 3" xfId="3575"/>
    <cellStyle name="Обычный 14 11" xfId="2165"/>
    <cellStyle name="Обычный 14 11 2" xfId="3576"/>
    <cellStyle name="Обычный 14 12" xfId="3577"/>
    <cellStyle name="Обычный 14 13" xfId="6548"/>
    <cellStyle name="Обычный 14 2" xfId="684"/>
    <cellStyle name="Обычный 14 2 10" xfId="2166"/>
    <cellStyle name="Обычный 14 2 10 2" xfId="3578"/>
    <cellStyle name="Обычный 14 2 11" xfId="3579"/>
    <cellStyle name="Обычный 14 2 12" xfId="6549"/>
    <cellStyle name="Обычный 14 2 2" xfId="685"/>
    <cellStyle name="Обычный 14 2 2 2" xfId="686"/>
    <cellStyle name="Обычный 14 2 2 2 2" xfId="687"/>
    <cellStyle name="Обычный 14 2 2 2 2 2" xfId="688"/>
    <cellStyle name="Обычный 14 2 2 2 2 2 2" xfId="3580"/>
    <cellStyle name="Обычный 14 2 2 2 2 2 2 2" xfId="6550"/>
    <cellStyle name="Обычный 14 2 2 2 2 2 3" xfId="3581"/>
    <cellStyle name="Обычный 14 2 2 2 2 3" xfId="3582"/>
    <cellStyle name="Обычный 14 2 2 2 2 3 2" xfId="6551"/>
    <cellStyle name="Обычный 14 2 2 2 2 4" xfId="3583"/>
    <cellStyle name="Обычный 14 2 2 2 3" xfId="689"/>
    <cellStyle name="Обычный 14 2 2 2 3 2" xfId="3584"/>
    <cellStyle name="Обычный 14 2 2 2 3 2 2" xfId="6552"/>
    <cellStyle name="Обычный 14 2 2 2 3 3" xfId="3585"/>
    <cellStyle name="Обычный 14 2 2 2 4" xfId="690"/>
    <cellStyle name="Обычный 14 2 2 2 4 2" xfId="3586"/>
    <cellStyle name="Обычный 14 2 2 2 4 2 2" xfId="6553"/>
    <cellStyle name="Обычный 14 2 2 2 4 3" xfId="3587"/>
    <cellStyle name="Обычный 14 2 2 2 5" xfId="691"/>
    <cellStyle name="Обычный 14 2 2 2 5 2" xfId="3588"/>
    <cellStyle name="Обычный 14 2 2 2 5 2 2" xfId="6554"/>
    <cellStyle name="Обычный 14 2 2 2 5 3" xfId="3589"/>
    <cellStyle name="Обычный 14 2 2 2 6" xfId="2167"/>
    <cellStyle name="Обычный 14 2 2 2 6 2" xfId="3590"/>
    <cellStyle name="Обычный 14 2 2 2 7" xfId="3591"/>
    <cellStyle name="Обычный 14 2 2 2 8" xfId="6555"/>
    <cellStyle name="Обычный 14 2 2 3" xfId="692"/>
    <cellStyle name="Обычный 14 2 2 3 2" xfId="693"/>
    <cellStyle name="Обычный 14 2 2 3 2 2" xfId="3592"/>
    <cellStyle name="Обычный 14 2 2 3 2 2 2" xfId="6556"/>
    <cellStyle name="Обычный 14 2 2 3 2 3" xfId="3593"/>
    <cellStyle name="Обычный 14 2 2 3 3" xfId="3594"/>
    <cellStyle name="Обычный 14 2 2 3 3 2" xfId="6557"/>
    <cellStyle name="Обычный 14 2 2 3 4" xfId="3595"/>
    <cellStyle name="Обычный 14 2 2 4" xfId="694"/>
    <cellStyle name="Обычный 14 2 2 4 2" xfId="3596"/>
    <cellStyle name="Обычный 14 2 2 4 2 2" xfId="6558"/>
    <cellStyle name="Обычный 14 2 2 4 3" xfId="3597"/>
    <cellStyle name="Обычный 14 2 2 5" xfId="695"/>
    <cellStyle name="Обычный 14 2 2 5 2" xfId="3598"/>
    <cellStyle name="Обычный 14 2 2 5 2 2" xfId="6559"/>
    <cellStyle name="Обычный 14 2 2 5 3" xfId="3599"/>
    <cellStyle name="Обычный 14 2 2 6" xfId="696"/>
    <cellStyle name="Обычный 14 2 2 6 2" xfId="3600"/>
    <cellStyle name="Обычный 14 2 2 6 2 2" xfId="6560"/>
    <cellStyle name="Обычный 14 2 2 6 3" xfId="3601"/>
    <cellStyle name="Обычный 14 2 2 7" xfId="2168"/>
    <cellStyle name="Обычный 14 2 2 7 2" xfId="3602"/>
    <cellStyle name="Обычный 14 2 2 8" xfId="3603"/>
    <cellStyle name="Обычный 14 2 2 9" xfId="6561"/>
    <cellStyle name="Обычный 14 2 2_Расчет скв 3П Яснополянской  БУ румынский  без ВСП от 09082019" xfId="1996"/>
    <cellStyle name="Обычный 14 2 3" xfId="697"/>
    <cellStyle name="Обычный 14 2 3 2" xfId="698"/>
    <cellStyle name="Обычный 14 2 3 2 2" xfId="699"/>
    <cellStyle name="Обычный 14 2 3 2 2 2" xfId="3604"/>
    <cellStyle name="Обычный 14 2 3 2 2 2 2" xfId="6562"/>
    <cellStyle name="Обычный 14 2 3 2 2 3" xfId="3605"/>
    <cellStyle name="Обычный 14 2 3 2 3" xfId="3606"/>
    <cellStyle name="Обычный 14 2 3 2 3 2" xfId="6563"/>
    <cellStyle name="Обычный 14 2 3 2 4" xfId="3607"/>
    <cellStyle name="Обычный 14 2 3 3" xfId="700"/>
    <cellStyle name="Обычный 14 2 3 3 2" xfId="3608"/>
    <cellStyle name="Обычный 14 2 3 3 2 2" xfId="6564"/>
    <cellStyle name="Обычный 14 2 3 3 3" xfId="3609"/>
    <cellStyle name="Обычный 14 2 3 4" xfId="701"/>
    <cellStyle name="Обычный 14 2 3 4 2" xfId="3610"/>
    <cellStyle name="Обычный 14 2 3 4 2 2" xfId="6565"/>
    <cellStyle name="Обычный 14 2 3 4 3" xfId="3611"/>
    <cellStyle name="Обычный 14 2 3 5" xfId="702"/>
    <cellStyle name="Обычный 14 2 3 5 2" xfId="3612"/>
    <cellStyle name="Обычный 14 2 3 5 2 2" xfId="6566"/>
    <cellStyle name="Обычный 14 2 3 5 3" xfId="3613"/>
    <cellStyle name="Обычный 14 2 3 6" xfId="2169"/>
    <cellStyle name="Обычный 14 2 3 6 2" xfId="3614"/>
    <cellStyle name="Обычный 14 2 3 7" xfId="3615"/>
    <cellStyle name="Обычный 14 2 3 8" xfId="6567"/>
    <cellStyle name="Обычный 14 2 4" xfId="703"/>
    <cellStyle name="Обычный 14 2 4 2" xfId="704"/>
    <cellStyle name="Обычный 14 2 4 2 2" xfId="705"/>
    <cellStyle name="Обычный 14 2 4 2 2 2" xfId="3616"/>
    <cellStyle name="Обычный 14 2 4 2 2 2 2" xfId="6568"/>
    <cellStyle name="Обычный 14 2 4 2 2 3" xfId="3617"/>
    <cellStyle name="Обычный 14 2 4 2 3" xfId="3618"/>
    <cellStyle name="Обычный 14 2 4 2 3 2" xfId="6569"/>
    <cellStyle name="Обычный 14 2 4 2 4" xfId="3619"/>
    <cellStyle name="Обычный 14 2 4 3" xfId="706"/>
    <cellStyle name="Обычный 14 2 4 3 2" xfId="3620"/>
    <cellStyle name="Обычный 14 2 4 3 2 2" xfId="6570"/>
    <cellStyle name="Обычный 14 2 4 3 3" xfId="3621"/>
    <cellStyle name="Обычный 14 2 4 4" xfId="707"/>
    <cellStyle name="Обычный 14 2 4 4 2" xfId="3622"/>
    <cellStyle name="Обычный 14 2 4 4 2 2" xfId="6571"/>
    <cellStyle name="Обычный 14 2 4 4 3" xfId="3623"/>
    <cellStyle name="Обычный 14 2 4 5" xfId="708"/>
    <cellStyle name="Обычный 14 2 4 5 2" xfId="3624"/>
    <cellStyle name="Обычный 14 2 4 5 2 2" xfId="6572"/>
    <cellStyle name="Обычный 14 2 4 5 3" xfId="3625"/>
    <cellStyle name="Обычный 14 2 4 6" xfId="2170"/>
    <cellStyle name="Обычный 14 2 4 6 2" xfId="3626"/>
    <cellStyle name="Обычный 14 2 4 7" xfId="3627"/>
    <cellStyle name="Обычный 14 2 4 8" xfId="6573"/>
    <cellStyle name="Обычный 14 2 5" xfId="709"/>
    <cellStyle name="Обычный 14 2 5 2" xfId="710"/>
    <cellStyle name="Обычный 14 2 5 2 2" xfId="711"/>
    <cellStyle name="Обычный 14 2 5 2 2 2" xfId="3628"/>
    <cellStyle name="Обычный 14 2 5 2 2 2 2" xfId="6574"/>
    <cellStyle name="Обычный 14 2 5 2 2 3" xfId="3629"/>
    <cellStyle name="Обычный 14 2 5 2 3" xfId="3630"/>
    <cellStyle name="Обычный 14 2 5 2 3 2" xfId="6575"/>
    <cellStyle name="Обычный 14 2 5 2 4" xfId="3631"/>
    <cellStyle name="Обычный 14 2 5 3" xfId="712"/>
    <cellStyle name="Обычный 14 2 5 3 2" xfId="3632"/>
    <cellStyle name="Обычный 14 2 5 3 2 2" xfId="6576"/>
    <cellStyle name="Обычный 14 2 5 3 3" xfId="3633"/>
    <cellStyle name="Обычный 14 2 5 4" xfId="713"/>
    <cellStyle name="Обычный 14 2 5 4 2" xfId="3634"/>
    <cellStyle name="Обычный 14 2 5 4 2 2" xfId="6577"/>
    <cellStyle name="Обычный 14 2 5 4 3" xfId="3635"/>
    <cellStyle name="Обычный 14 2 5 5" xfId="714"/>
    <cellStyle name="Обычный 14 2 5 5 2" xfId="3636"/>
    <cellStyle name="Обычный 14 2 5 5 2 2" xfId="6578"/>
    <cellStyle name="Обычный 14 2 5 5 3" xfId="3637"/>
    <cellStyle name="Обычный 14 2 5 6" xfId="2171"/>
    <cellStyle name="Обычный 14 2 5 6 2" xfId="3638"/>
    <cellStyle name="Обычный 14 2 5 7" xfId="3639"/>
    <cellStyle name="Обычный 14 2 5 8" xfId="6579"/>
    <cellStyle name="Обычный 14 2 6" xfId="715"/>
    <cellStyle name="Обычный 14 2 6 2" xfId="716"/>
    <cellStyle name="Обычный 14 2 6 2 2" xfId="3640"/>
    <cellStyle name="Обычный 14 2 6 2 2 2" xfId="6580"/>
    <cellStyle name="Обычный 14 2 6 2 3" xfId="3641"/>
    <cellStyle name="Обычный 14 2 6 3" xfId="3642"/>
    <cellStyle name="Обычный 14 2 6 3 2" xfId="6581"/>
    <cellStyle name="Обычный 14 2 6 4" xfId="3643"/>
    <cellStyle name="Обычный 14 2 7" xfId="717"/>
    <cellStyle name="Обычный 14 2 7 2" xfId="3644"/>
    <cellStyle name="Обычный 14 2 7 2 2" xfId="6582"/>
    <cellStyle name="Обычный 14 2 7 3" xfId="3645"/>
    <cellStyle name="Обычный 14 2 8" xfId="718"/>
    <cellStyle name="Обычный 14 2 8 2" xfId="3646"/>
    <cellStyle name="Обычный 14 2 8 2 2" xfId="6583"/>
    <cellStyle name="Обычный 14 2 8 3" xfId="3647"/>
    <cellStyle name="Обычный 14 2 9" xfId="719"/>
    <cellStyle name="Обычный 14 2 9 2" xfId="3648"/>
    <cellStyle name="Обычный 14 2 9 2 2" xfId="6584"/>
    <cellStyle name="Обычный 14 2 9 3" xfId="3649"/>
    <cellStyle name="Обычный 14 2_Расчет скв 3П Яснополянской  БУ румынский  без ВСП от 09082019" xfId="1997"/>
    <cellStyle name="Обычный 14 3" xfId="720"/>
    <cellStyle name="Обычный 14 3 2" xfId="721"/>
    <cellStyle name="Обычный 14 3 2 2" xfId="722"/>
    <cellStyle name="Обычный 14 3 2 2 2" xfId="723"/>
    <cellStyle name="Обычный 14 3 2 2 2 2" xfId="3650"/>
    <cellStyle name="Обычный 14 3 2 2 2 2 2" xfId="6585"/>
    <cellStyle name="Обычный 14 3 2 2 2 3" xfId="3651"/>
    <cellStyle name="Обычный 14 3 2 2 3" xfId="3652"/>
    <cellStyle name="Обычный 14 3 2 2 3 2" xfId="6586"/>
    <cellStyle name="Обычный 14 3 2 2 4" xfId="3653"/>
    <cellStyle name="Обычный 14 3 2 3" xfId="724"/>
    <cellStyle name="Обычный 14 3 2 3 2" xfId="3654"/>
    <cellStyle name="Обычный 14 3 2 3 2 2" xfId="6587"/>
    <cellStyle name="Обычный 14 3 2 3 3" xfId="3655"/>
    <cellStyle name="Обычный 14 3 2 4" xfId="725"/>
    <cellStyle name="Обычный 14 3 2 4 2" xfId="3656"/>
    <cellStyle name="Обычный 14 3 2 4 2 2" xfId="6588"/>
    <cellStyle name="Обычный 14 3 2 4 3" xfId="3657"/>
    <cellStyle name="Обычный 14 3 2 5" xfId="726"/>
    <cellStyle name="Обычный 14 3 2 5 2" xfId="3658"/>
    <cellStyle name="Обычный 14 3 2 5 2 2" xfId="6589"/>
    <cellStyle name="Обычный 14 3 2 5 3" xfId="3659"/>
    <cellStyle name="Обычный 14 3 2 6" xfId="2172"/>
    <cellStyle name="Обычный 14 3 2 6 2" xfId="3660"/>
    <cellStyle name="Обычный 14 3 2 7" xfId="3661"/>
    <cellStyle name="Обычный 14 3 2 8" xfId="6590"/>
    <cellStyle name="Обычный 14 3 3" xfId="727"/>
    <cellStyle name="Обычный 14 3 3 2" xfId="728"/>
    <cellStyle name="Обычный 14 3 3 2 2" xfId="3662"/>
    <cellStyle name="Обычный 14 3 3 2 2 2" xfId="6591"/>
    <cellStyle name="Обычный 14 3 3 2 3" xfId="3663"/>
    <cellStyle name="Обычный 14 3 3 3" xfId="3664"/>
    <cellStyle name="Обычный 14 3 3 3 2" xfId="6592"/>
    <cellStyle name="Обычный 14 3 3 4" xfId="3665"/>
    <cellStyle name="Обычный 14 3 4" xfId="729"/>
    <cellStyle name="Обычный 14 3 4 2" xfId="3666"/>
    <cellStyle name="Обычный 14 3 4 2 2" xfId="6593"/>
    <cellStyle name="Обычный 14 3 4 3" xfId="3667"/>
    <cellStyle name="Обычный 14 3 5" xfId="730"/>
    <cellStyle name="Обычный 14 3 5 2" xfId="3668"/>
    <cellStyle name="Обычный 14 3 5 2 2" xfId="6594"/>
    <cellStyle name="Обычный 14 3 5 3" xfId="3669"/>
    <cellStyle name="Обычный 14 3 6" xfId="731"/>
    <cellStyle name="Обычный 14 3 6 2" xfId="3670"/>
    <cellStyle name="Обычный 14 3 6 2 2" xfId="6595"/>
    <cellStyle name="Обычный 14 3 6 3" xfId="3671"/>
    <cellStyle name="Обычный 14 3 7" xfId="2173"/>
    <cellStyle name="Обычный 14 3 7 2" xfId="3672"/>
    <cellStyle name="Обычный 14 3 8" xfId="3673"/>
    <cellStyle name="Обычный 14 3 9" xfId="6596"/>
    <cellStyle name="Обычный 14 3_Расчет скв 3П Яснополянской  БУ румынский  без ВСП от 09082019" xfId="1998"/>
    <cellStyle name="Обычный 14 4" xfId="732"/>
    <cellStyle name="Обычный 14 4 2" xfId="733"/>
    <cellStyle name="Обычный 14 4 2 2" xfId="734"/>
    <cellStyle name="Обычный 14 4 2 2 2" xfId="3674"/>
    <cellStyle name="Обычный 14 4 2 2 2 2" xfId="6597"/>
    <cellStyle name="Обычный 14 4 2 2 3" xfId="3675"/>
    <cellStyle name="Обычный 14 4 2 3" xfId="3676"/>
    <cellStyle name="Обычный 14 4 2 3 2" xfId="6598"/>
    <cellStyle name="Обычный 14 4 2 4" xfId="3677"/>
    <cellStyle name="Обычный 14 4 3" xfId="735"/>
    <cellStyle name="Обычный 14 4 3 2" xfId="3678"/>
    <cellStyle name="Обычный 14 4 3 2 2" xfId="6599"/>
    <cellStyle name="Обычный 14 4 3 3" xfId="3679"/>
    <cellStyle name="Обычный 14 4 4" xfId="736"/>
    <cellStyle name="Обычный 14 4 4 2" xfId="3680"/>
    <cellStyle name="Обычный 14 4 4 2 2" xfId="6600"/>
    <cellStyle name="Обычный 14 4 4 3" xfId="3681"/>
    <cellStyle name="Обычный 14 4 5" xfId="737"/>
    <cellStyle name="Обычный 14 4 5 2" xfId="3682"/>
    <cellStyle name="Обычный 14 4 5 2 2" xfId="6601"/>
    <cellStyle name="Обычный 14 4 5 3" xfId="3683"/>
    <cellStyle name="Обычный 14 4 6" xfId="2174"/>
    <cellStyle name="Обычный 14 4 6 2" xfId="3684"/>
    <cellStyle name="Обычный 14 4 7" xfId="3685"/>
    <cellStyle name="Обычный 14 4 8" xfId="6602"/>
    <cellStyle name="Обычный 14 5" xfId="738"/>
    <cellStyle name="Обычный 14 5 2" xfId="739"/>
    <cellStyle name="Обычный 14 5 2 2" xfId="740"/>
    <cellStyle name="Обычный 14 5 2 2 2" xfId="3686"/>
    <cellStyle name="Обычный 14 5 2 2 2 2" xfId="6603"/>
    <cellStyle name="Обычный 14 5 2 2 3" xfId="3687"/>
    <cellStyle name="Обычный 14 5 2 3" xfId="3688"/>
    <cellStyle name="Обычный 14 5 2 3 2" xfId="6604"/>
    <cellStyle name="Обычный 14 5 2 4" xfId="3689"/>
    <cellStyle name="Обычный 14 5 3" xfId="741"/>
    <cellStyle name="Обычный 14 5 3 2" xfId="3690"/>
    <cellStyle name="Обычный 14 5 3 2 2" xfId="6605"/>
    <cellStyle name="Обычный 14 5 3 3" xfId="3691"/>
    <cellStyle name="Обычный 14 5 4" xfId="742"/>
    <cellStyle name="Обычный 14 5 4 2" xfId="3692"/>
    <cellStyle name="Обычный 14 5 4 2 2" xfId="6606"/>
    <cellStyle name="Обычный 14 5 4 3" xfId="3693"/>
    <cellStyle name="Обычный 14 5 5" xfId="743"/>
    <cellStyle name="Обычный 14 5 5 2" xfId="3694"/>
    <cellStyle name="Обычный 14 5 5 2 2" xfId="6607"/>
    <cellStyle name="Обычный 14 5 5 3" xfId="3695"/>
    <cellStyle name="Обычный 14 5 6" xfId="2175"/>
    <cellStyle name="Обычный 14 5 6 2" xfId="3696"/>
    <cellStyle name="Обычный 14 5 7" xfId="3697"/>
    <cellStyle name="Обычный 14 5 8" xfId="6608"/>
    <cellStyle name="Обычный 14 6" xfId="744"/>
    <cellStyle name="Обычный 14 6 2" xfId="745"/>
    <cellStyle name="Обычный 14 6 2 2" xfId="746"/>
    <cellStyle name="Обычный 14 6 2 2 2" xfId="3698"/>
    <cellStyle name="Обычный 14 6 2 2 2 2" xfId="6609"/>
    <cellStyle name="Обычный 14 6 2 2 3" xfId="3699"/>
    <cellStyle name="Обычный 14 6 2 3" xfId="3700"/>
    <cellStyle name="Обычный 14 6 2 3 2" xfId="6610"/>
    <cellStyle name="Обычный 14 6 2 4" xfId="3701"/>
    <cellStyle name="Обычный 14 6 3" xfId="747"/>
    <cellStyle name="Обычный 14 6 3 2" xfId="3702"/>
    <cellStyle name="Обычный 14 6 3 2 2" xfId="6611"/>
    <cellStyle name="Обычный 14 6 3 3" xfId="3703"/>
    <cellStyle name="Обычный 14 6 4" xfId="748"/>
    <cellStyle name="Обычный 14 6 4 2" xfId="3704"/>
    <cellStyle name="Обычный 14 6 4 2 2" xfId="6612"/>
    <cellStyle name="Обычный 14 6 4 3" xfId="3705"/>
    <cellStyle name="Обычный 14 6 5" xfId="749"/>
    <cellStyle name="Обычный 14 6 5 2" xfId="3706"/>
    <cellStyle name="Обычный 14 6 5 2 2" xfId="6613"/>
    <cellStyle name="Обычный 14 6 5 3" xfId="3707"/>
    <cellStyle name="Обычный 14 6 6" xfId="2176"/>
    <cellStyle name="Обычный 14 6 6 2" xfId="3708"/>
    <cellStyle name="Обычный 14 6 7" xfId="3709"/>
    <cellStyle name="Обычный 14 6 8" xfId="6614"/>
    <cellStyle name="Обычный 14 7" xfId="750"/>
    <cellStyle name="Обычный 14 7 2" xfId="751"/>
    <cellStyle name="Обычный 14 7 2 2" xfId="3710"/>
    <cellStyle name="Обычный 14 7 2 2 2" xfId="6615"/>
    <cellStyle name="Обычный 14 7 2 3" xfId="3711"/>
    <cellStyle name="Обычный 14 7 3" xfId="3712"/>
    <cellStyle name="Обычный 14 7 3 2" xfId="6616"/>
    <cellStyle name="Обычный 14 7 4" xfId="3713"/>
    <cellStyle name="Обычный 14 8" xfId="752"/>
    <cellStyle name="Обычный 14 8 2" xfId="3714"/>
    <cellStyle name="Обычный 14 8 2 2" xfId="6617"/>
    <cellStyle name="Обычный 14 8 3" xfId="3715"/>
    <cellStyle name="Обычный 14 9" xfId="753"/>
    <cellStyle name="Обычный 14 9 2" xfId="3716"/>
    <cellStyle name="Обычный 14 9 2 2" xfId="6618"/>
    <cellStyle name="Обычный 14 9 3" xfId="3717"/>
    <cellStyle name="Обычный 14_Расчет скв 3П Яснополянской  БУ румынский  без ВСП от 09082019" xfId="1999"/>
    <cellStyle name="Обычный 15" xfId="754"/>
    <cellStyle name="Обычный 16" xfId="755"/>
    <cellStyle name="Обычный 17" xfId="756"/>
    <cellStyle name="Обычный 18" xfId="757"/>
    <cellStyle name="Обычный 19" xfId="758"/>
    <cellStyle name="Обычный 19 10" xfId="759"/>
    <cellStyle name="Обычный 19 10 2" xfId="3718"/>
    <cellStyle name="Обычный 19 10 2 2" xfId="6619"/>
    <cellStyle name="Обычный 19 10 3" xfId="3719"/>
    <cellStyle name="Обычный 19 11" xfId="2177"/>
    <cellStyle name="Обычный 19 11 2" xfId="3720"/>
    <cellStyle name="Обычный 19 12" xfId="3721"/>
    <cellStyle name="Обычный 19 13" xfId="6620"/>
    <cellStyle name="Обычный 19 2" xfId="760"/>
    <cellStyle name="Обычный 19 2 10" xfId="2178"/>
    <cellStyle name="Обычный 19 2 10 2" xfId="3722"/>
    <cellStyle name="Обычный 19 2 11" xfId="3723"/>
    <cellStyle name="Обычный 19 2 12" xfId="6621"/>
    <cellStyle name="Обычный 19 2 2" xfId="761"/>
    <cellStyle name="Обычный 19 2 2 2" xfId="762"/>
    <cellStyle name="Обычный 19 2 2 2 2" xfId="763"/>
    <cellStyle name="Обычный 19 2 2 2 2 2" xfId="764"/>
    <cellStyle name="Обычный 19 2 2 2 2 2 2" xfId="3724"/>
    <cellStyle name="Обычный 19 2 2 2 2 2 2 2" xfId="6622"/>
    <cellStyle name="Обычный 19 2 2 2 2 2 3" xfId="3725"/>
    <cellStyle name="Обычный 19 2 2 2 2 3" xfId="3726"/>
    <cellStyle name="Обычный 19 2 2 2 2 3 2" xfId="6623"/>
    <cellStyle name="Обычный 19 2 2 2 2 4" xfId="3727"/>
    <cellStyle name="Обычный 19 2 2 2 3" xfId="765"/>
    <cellStyle name="Обычный 19 2 2 2 3 2" xfId="3728"/>
    <cellStyle name="Обычный 19 2 2 2 3 2 2" xfId="6624"/>
    <cellStyle name="Обычный 19 2 2 2 3 3" xfId="3729"/>
    <cellStyle name="Обычный 19 2 2 2 4" xfId="766"/>
    <cellStyle name="Обычный 19 2 2 2 4 2" xfId="3730"/>
    <cellStyle name="Обычный 19 2 2 2 4 2 2" xfId="6625"/>
    <cellStyle name="Обычный 19 2 2 2 4 3" xfId="3731"/>
    <cellStyle name="Обычный 19 2 2 2 5" xfId="767"/>
    <cellStyle name="Обычный 19 2 2 2 5 2" xfId="3732"/>
    <cellStyle name="Обычный 19 2 2 2 5 2 2" xfId="6626"/>
    <cellStyle name="Обычный 19 2 2 2 5 3" xfId="3733"/>
    <cellStyle name="Обычный 19 2 2 2 6" xfId="2179"/>
    <cellStyle name="Обычный 19 2 2 2 6 2" xfId="3734"/>
    <cellStyle name="Обычный 19 2 2 2 7" xfId="3735"/>
    <cellStyle name="Обычный 19 2 2 2 8" xfId="6627"/>
    <cellStyle name="Обычный 19 2 2 3" xfId="768"/>
    <cellStyle name="Обычный 19 2 2 3 2" xfId="769"/>
    <cellStyle name="Обычный 19 2 2 3 2 2" xfId="3736"/>
    <cellStyle name="Обычный 19 2 2 3 2 2 2" xfId="6628"/>
    <cellStyle name="Обычный 19 2 2 3 2 3" xfId="3737"/>
    <cellStyle name="Обычный 19 2 2 3 3" xfId="3738"/>
    <cellStyle name="Обычный 19 2 2 3 3 2" xfId="6629"/>
    <cellStyle name="Обычный 19 2 2 3 4" xfId="3739"/>
    <cellStyle name="Обычный 19 2 2 4" xfId="770"/>
    <cellStyle name="Обычный 19 2 2 4 2" xfId="3740"/>
    <cellStyle name="Обычный 19 2 2 4 2 2" xfId="6630"/>
    <cellStyle name="Обычный 19 2 2 4 3" xfId="3741"/>
    <cellStyle name="Обычный 19 2 2 5" xfId="771"/>
    <cellStyle name="Обычный 19 2 2 5 2" xfId="3742"/>
    <cellStyle name="Обычный 19 2 2 5 2 2" xfId="6631"/>
    <cellStyle name="Обычный 19 2 2 5 3" xfId="3743"/>
    <cellStyle name="Обычный 19 2 2 6" xfId="772"/>
    <cellStyle name="Обычный 19 2 2 6 2" xfId="3744"/>
    <cellStyle name="Обычный 19 2 2 6 2 2" xfId="6632"/>
    <cellStyle name="Обычный 19 2 2 6 3" xfId="3745"/>
    <cellStyle name="Обычный 19 2 2 7" xfId="2180"/>
    <cellStyle name="Обычный 19 2 2 7 2" xfId="3746"/>
    <cellStyle name="Обычный 19 2 2 8" xfId="3747"/>
    <cellStyle name="Обычный 19 2 2 9" xfId="6633"/>
    <cellStyle name="Обычный 19 2 2_Расчет скв 3П Яснополянской  БУ румынский  без ВСП от 09082019" xfId="2000"/>
    <cellStyle name="Обычный 19 2 3" xfId="773"/>
    <cellStyle name="Обычный 19 2 3 2" xfId="774"/>
    <cellStyle name="Обычный 19 2 3 2 2" xfId="775"/>
    <cellStyle name="Обычный 19 2 3 2 2 2" xfId="3748"/>
    <cellStyle name="Обычный 19 2 3 2 2 2 2" xfId="6634"/>
    <cellStyle name="Обычный 19 2 3 2 2 3" xfId="3749"/>
    <cellStyle name="Обычный 19 2 3 2 3" xfId="3750"/>
    <cellStyle name="Обычный 19 2 3 2 3 2" xfId="6635"/>
    <cellStyle name="Обычный 19 2 3 2 4" xfId="3751"/>
    <cellStyle name="Обычный 19 2 3 3" xfId="776"/>
    <cellStyle name="Обычный 19 2 3 3 2" xfId="3752"/>
    <cellStyle name="Обычный 19 2 3 3 2 2" xfId="6636"/>
    <cellStyle name="Обычный 19 2 3 3 3" xfId="3753"/>
    <cellStyle name="Обычный 19 2 3 4" xfId="777"/>
    <cellStyle name="Обычный 19 2 3 4 2" xfId="3754"/>
    <cellStyle name="Обычный 19 2 3 4 2 2" xfId="6637"/>
    <cellStyle name="Обычный 19 2 3 4 3" xfId="3755"/>
    <cellStyle name="Обычный 19 2 3 5" xfId="778"/>
    <cellStyle name="Обычный 19 2 3 5 2" xfId="3756"/>
    <cellStyle name="Обычный 19 2 3 5 2 2" xfId="6638"/>
    <cellStyle name="Обычный 19 2 3 5 3" xfId="3757"/>
    <cellStyle name="Обычный 19 2 3 6" xfId="2181"/>
    <cellStyle name="Обычный 19 2 3 6 2" xfId="3758"/>
    <cellStyle name="Обычный 19 2 3 7" xfId="3759"/>
    <cellStyle name="Обычный 19 2 3 8" xfId="6639"/>
    <cellStyle name="Обычный 19 2 4" xfId="779"/>
    <cellStyle name="Обычный 19 2 4 2" xfId="780"/>
    <cellStyle name="Обычный 19 2 4 2 2" xfId="781"/>
    <cellStyle name="Обычный 19 2 4 2 2 2" xfId="3760"/>
    <cellStyle name="Обычный 19 2 4 2 2 2 2" xfId="6640"/>
    <cellStyle name="Обычный 19 2 4 2 2 3" xfId="3761"/>
    <cellStyle name="Обычный 19 2 4 2 3" xfId="3762"/>
    <cellStyle name="Обычный 19 2 4 2 3 2" xfId="6641"/>
    <cellStyle name="Обычный 19 2 4 2 4" xfId="3763"/>
    <cellStyle name="Обычный 19 2 4 3" xfId="782"/>
    <cellStyle name="Обычный 19 2 4 3 2" xfId="3764"/>
    <cellStyle name="Обычный 19 2 4 3 2 2" xfId="6642"/>
    <cellStyle name="Обычный 19 2 4 3 3" xfId="3765"/>
    <cellStyle name="Обычный 19 2 4 4" xfId="783"/>
    <cellStyle name="Обычный 19 2 4 4 2" xfId="3766"/>
    <cellStyle name="Обычный 19 2 4 4 2 2" xfId="6643"/>
    <cellStyle name="Обычный 19 2 4 4 3" xfId="3767"/>
    <cellStyle name="Обычный 19 2 4 5" xfId="784"/>
    <cellStyle name="Обычный 19 2 4 5 2" xfId="3768"/>
    <cellStyle name="Обычный 19 2 4 5 2 2" xfId="6644"/>
    <cellStyle name="Обычный 19 2 4 5 3" xfId="3769"/>
    <cellStyle name="Обычный 19 2 4 6" xfId="2182"/>
    <cellStyle name="Обычный 19 2 4 6 2" xfId="3770"/>
    <cellStyle name="Обычный 19 2 4 7" xfId="3771"/>
    <cellStyle name="Обычный 19 2 4 8" xfId="6645"/>
    <cellStyle name="Обычный 19 2 5" xfId="785"/>
    <cellStyle name="Обычный 19 2 5 2" xfId="786"/>
    <cellStyle name="Обычный 19 2 5 2 2" xfId="787"/>
    <cellStyle name="Обычный 19 2 5 2 2 2" xfId="3772"/>
    <cellStyle name="Обычный 19 2 5 2 2 2 2" xfId="6646"/>
    <cellStyle name="Обычный 19 2 5 2 2 3" xfId="3773"/>
    <cellStyle name="Обычный 19 2 5 2 3" xfId="3774"/>
    <cellStyle name="Обычный 19 2 5 2 3 2" xfId="6647"/>
    <cellStyle name="Обычный 19 2 5 2 4" xfId="3775"/>
    <cellStyle name="Обычный 19 2 5 3" xfId="788"/>
    <cellStyle name="Обычный 19 2 5 3 2" xfId="3776"/>
    <cellStyle name="Обычный 19 2 5 3 2 2" xfId="6648"/>
    <cellStyle name="Обычный 19 2 5 3 3" xfId="3777"/>
    <cellStyle name="Обычный 19 2 5 4" xfId="789"/>
    <cellStyle name="Обычный 19 2 5 4 2" xfId="3778"/>
    <cellStyle name="Обычный 19 2 5 4 2 2" xfId="6649"/>
    <cellStyle name="Обычный 19 2 5 4 3" xfId="3779"/>
    <cellStyle name="Обычный 19 2 5 5" xfId="790"/>
    <cellStyle name="Обычный 19 2 5 5 2" xfId="3780"/>
    <cellStyle name="Обычный 19 2 5 5 2 2" xfId="6650"/>
    <cellStyle name="Обычный 19 2 5 5 3" xfId="3781"/>
    <cellStyle name="Обычный 19 2 5 6" xfId="2183"/>
    <cellStyle name="Обычный 19 2 5 6 2" xfId="3782"/>
    <cellStyle name="Обычный 19 2 5 7" xfId="3783"/>
    <cellStyle name="Обычный 19 2 5 8" xfId="6651"/>
    <cellStyle name="Обычный 19 2 6" xfId="791"/>
    <cellStyle name="Обычный 19 2 6 2" xfId="792"/>
    <cellStyle name="Обычный 19 2 6 2 2" xfId="3784"/>
    <cellStyle name="Обычный 19 2 6 2 2 2" xfId="6652"/>
    <cellStyle name="Обычный 19 2 6 2 3" xfId="3785"/>
    <cellStyle name="Обычный 19 2 6 3" xfId="3786"/>
    <cellStyle name="Обычный 19 2 6 3 2" xfId="6653"/>
    <cellStyle name="Обычный 19 2 6 4" xfId="3787"/>
    <cellStyle name="Обычный 19 2 7" xfId="793"/>
    <cellStyle name="Обычный 19 2 7 2" xfId="3788"/>
    <cellStyle name="Обычный 19 2 7 2 2" xfId="6654"/>
    <cellStyle name="Обычный 19 2 7 3" xfId="3789"/>
    <cellStyle name="Обычный 19 2 8" xfId="794"/>
    <cellStyle name="Обычный 19 2 8 2" xfId="3790"/>
    <cellStyle name="Обычный 19 2 8 2 2" xfId="6655"/>
    <cellStyle name="Обычный 19 2 8 3" xfId="3791"/>
    <cellStyle name="Обычный 19 2 9" xfId="795"/>
    <cellStyle name="Обычный 19 2 9 2" xfId="3792"/>
    <cellStyle name="Обычный 19 2 9 2 2" xfId="6656"/>
    <cellStyle name="Обычный 19 2 9 3" xfId="3793"/>
    <cellStyle name="Обычный 19 2_Расчет скв 3П Яснополянской  БУ румынский  без ВСП от 09082019" xfId="2001"/>
    <cellStyle name="Обычный 19 3" xfId="796"/>
    <cellStyle name="Обычный 19 3 2" xfId="797"/>
    <cellStyle name="Обычный 19 3 2 2" xfId="798"/>
    <cellStyle name="Обычный 19 3 2 2 2" xfId="799"/>
    <cellStyle name="Обычный 19 3 2 2 2 2" xfId="3794"/>
    <cellStyle name="Обычный 19 3 2 2 2 2 2" xfId="6657"/>
    <cellStyle name="Обычный 19 3 2 2 2 3" xfId="3795"/>
    <cellStyle name="Обычный 19 3 2 2 3" xfId="3796"/>
    <cellStyle name="Обычный 19 3 2 2 3 2" xfId="6658"/>
    <cellStyle name="Обычный 19 3 2 2 4" xfId="3797"/>
    <cellStyle name="Обычный 19 3 2 3" xfId="800"/>
    <cellStyle name="Обычный 19 3 2 3 2" xfId="3798"/>
    <cellStyle name="Обычный 19 3 2 3 2 2" xfId="6659"/>
    <cellStyle name="Обычный 19 3 2 3 3" xfId="3799"/>
    <cellStyle name="Обычный 19 3 2 4" xfId="801"/>
    <cellStyle name="Обычный 19 3 2 4 2" xfId="3800"/>
    <cellStyle name="Обычный 19 3 2 4 2 2" xfId="6660"/>
    <cellStyle name="Обычный 19 3 2 4 3" xfId="3801"/>
    <cellStyle name="Обычный 19 3 2 5" xfId="802"/>
    <cellStyle name="Обычный 19 3 2 5 2" xfId="3802"/>
    <cellStyle name="Обычный 19 3 2 5 2 2" xfId="6661"/>
    <cellStyle name="Обычный 19 3 2 5 3" xfId="3803"/>
    <cellStyle name="Обычный 19 3 2 6" xfId="2184"/>
    <cellStyle name="Обычный 19 3 2 6 2" xfId="3804"/>
    <cellStyle name="Обычный 19 3 2 7" xfId="3805"/>
    <cellStyle name="Обычный 19 3 2 8" xfId="6662"/>
    <cellStyle name="Обычный 19 3 3" xfId="803"/>
    <cellStyle name="Обычный 19 3 3 2" xfId="804"/>
    <cellStyle name="Обычный 19 3 3 2 2" xfId="3806"/>
    <cellStyle name="Обычный 19 3 3 2 2 2" xfId="6663"/>
    <cellStyle name="Обычный 19 3 3 2 3" xfId="3807"/>
    <cellStyle name="Обычный 19 3 3 3" xfId="3808"/>
    <cellStyle name="Обычный 19 3 3 3 2" xfId="6664"/>
    <cellStyle name="Обычный 19 3 3 4" xfId="3809"/>
    <cellStyle name="Обычный 19 3 4" xfId="805"/>
    <cellStyle name="Обычный 19 3 4 2" xfId="3810"/>
    <cellStyle name="Обычный 19 3 4 2 2" xfId="6665"/>
    <cellStyle name="Обычный 19 3 4 3" xfId="3811"/>
    <cellStyle name="Обычный 19 3 5" xfId="806"/>
    <cellStyle name="Обычный 19 3 5 2" xfId="3812"/>
    <cellStyle name="Обычный 19 3 5 2 2" xfId="6666"/>
    <cellStyle name="Обычный 19 3 5 3" xfId="3813"/>
    <cellStyle name="Обычный 19 3 6" xfId="807"/>
    <cellStyle name="Обычный 19 3 6 2" xfId="3814"/>
    <cellStyle name="Обычный 19 3 6 2 2" xfId="6667"/>
    <cellStyle name="Обычный 19 3 6 3" xfId="3815"/>
    <cellStyle name="Обычный 19 3 7" xfId="2185"/>
    <cellStyle name="Обычный 19 3 7 2" xfId="3816"/>
    <cellStyle name="Обычный 19 3 8" xfId="3817"/>
    <cellStyle name="Обычный 19 3 9" xfId="6668"/>
    <cellStyle name="Обычный 19 3_Расчет скв 3П Яснополянской  БУ румынский  без ВСП от 09082019" xfId="2002"/>
    <cellStyle name="Обычный 19 4" xfId="808"/>
    <cellStyle name="Обычный 19 4 2" xfId="809"/>
    <cellStyle name="Обычный 19 4 2 2" xfId="810"/>
    <cellStyle name="Обычный 19 4 2 2 2" xfId="3818"/>
    <cellStyle name="Обычный 19 4 2 2 2 2" xfId="6669"/>
    <cellStyle name="Обычный 19 4 2 2 3" xfId="3819"/>
    <cellStyle name="Обычный 19 4 2 3" xfId="3820"/>
    <cellStyle name="Обычный 19 4 2 3 2" xfId="6670"/>
    <cellStyle name="Обычный 19 4 2 4" xfId="3821"/>
    <cellStyle name="Обычный 19 4 3" xfId="811"/>
    <cellStyle name="Обычный 19 4 3 2" xfId="3822"/>
    <cellStyle name="Обычный 19 4 3 2 2" xfId="6671"/>
    <cellStyle name="Обычный 19 4 3 3" xfId="3823"/>
    <cellStyle name="Обычный 19 4 4" xfId="812"/>
    <cellStyle name="Обычный 19 4 4 2" xfId="3824"/>
    <cellStyle name="Обычный 19 4 4 2 2" xfId="6672"/>
    <cellStyle name="Обычный 19 4 4 3" xfId="3825"/>
    <cellStyle name="Обычный 19 4 5" xfId="813"/>
    <cellStyle name="Обычный 19 4 5 2" xfId="3826"/>
    <cellStyle name="Обычный 19 4 5 2 2" xfId="6673"/>
    <cellStyle name="Обычный 19 4 5 3" xfId="3827"/>
    <cellStyle name="Обычный 19 4 6" xfId="2186"/>
    <cellStyle name="Обычный 19 4 6 2" xfId="3828"/>
    <cellStyle name="Обычный 19 4 7" xfId="3829"/>
    <cellStyle name="Обычный 19 4 8" xfId="6674"/>
    <cellStyle name="Обычный 19 5" xfId="814"/>
    <cellStyle name="Обычный 19 5 2" xfId="815"/>
    <cellStyle name="Обычный 19 5 2 2" xfId="816"/>
    <cellStyle name="Обычный 19 5 2 2 2" xfId="3830"/>
    <cellStyle name="Обычный 19 5 2 2 2 2" xfId="6675"/>
    <cellStyle name="Обычный 19 5 2 2 3" xfId="3831"/>
    <cellStyle name="Обычный 19 5 2 3" xfId="3832"/>
    <cellStyle name="Обычный 19 5 2 3 2" xfId="6676"/>
    <cellStyle name="Обычный 19 5 2 4" xfId="3833"/>
    <cellStyle name="Обычный 19 5 3" xfId="817"/>
    <cellStyle name="Обычный 19 5 3 2" xfId="3834"/>
    <cellStyle name="Обычный 19 5 3 2 2" xfId="6677"/>
    <cellStyle name="Обычный 19 5 3 3" xfId="3835"/>
    <cellStyle name="Обычный 19 5 4" xfId="818"/>
    <cellStyle name="Обычный 19 5 4 2" xfId="3836"/>
    <cellStyle name="Обычный 19 5 4 2 2" xfId="6678"/>
    <cellStyle name="Обычный 19 5 4 3" xfId="3837"/>
    <cellStyle name="Обычный 19 5 5" xfId="819"/>
    <cellStyle name="Обычный 19 5 5 2" xfId="3838"/>
    <cellStyle name="Обычный 19 5 5 2 2" xfId="6679"/>
    <cellStyle name="Обычный 19 5 5 3" xfId="3839"/>
    <cellStyle name="Обычный 19 5 6" xfId="2187"/>
    <cellStyle name="Обычный 19 5 6 2" xfId="3840"/>
    <cellStyle name="Обычный 19 5 7" xfId="3841"/>
    <cellStyle name="Обычный 19 5 8" xfId="6680"/>
    <cellStyle name="Обычный 19 6" xfId="820"/>
    <cellStyle name="Обычный 19 6 2" xfId="821"/>
    <cellStyle name="Обычный 19 6 2 2" xfId="822"/>
    <cellStyle name="Обычный 19 6 2 2 2" xfId="3842"/>
    <cellStyle name="Обычный 19 6 2 2 2 2" xfId="6681"/>
    <cellStyle name="Обычный 19 6 2 2 3" xfId="3843"/>
    <cellStyle name="Обычный 19 6 2 3" xfId="3844"/>
    <cellStyle name="Обычный 19 6 2 3 2" xfId="6682"/>
    <cellStyle name="Обычный 19 6 2 4" xfId="3845"/>
    <cellStyle name="Обычный 19 6 3" xfId="823"/>
    <cellStyle name="Обычный 19 6 3 2" xfId="3846"/>
    <cellStyle name="Обычный 19 6 3 2 2" xfId="6683"/>
    <cellStyle name="Обычный 19 6 3 3" xfId="3847"/>
    <cellStyle name="Обычный 19 6 4" xfId="824"/>
    <cellStyle name="Обычный 19 6 4 2" xfId="3848"/>
    <cellStyle name="Обычный 19 6 4 2 2" xfId="6684"/>
    <cellStyle name="Обычный 19 6 4 3" xfId="3849"/>
    <cellStyle name="Обычный 19 6 5" xfId="825"/>
    <cellStyle name="Обычный 19 6 5 2" xfId="3850"/>
    <cellStyle name="Обычный 19 6 5 2 2" xfId="6685"/>
    <cellStyle name="Обычный 19 6 5 3" xfId="3851"/>
    <cellStyle name="Обычный 19 6 6" xfId="2188"/>
    <cellStyle name="Обычный 19 6 6 2" xfId="3852"/>
    <cellStyle name="Обычный 19 6 7" xfId="3853"/>
    <cellStyle name="Обычный 19 6 8" xfId="6686"/>
    <cellStyle name="Обычный 19 7" xfId="826"/>
    <cellStyle name="Обычный 19 7 2" xfId="827"/>
    <cellStyle name="Обычный 19 7 2 2" xfId="3854"/>
    <cellStyle name="Обычный 19 7 2 2 2" xfId="6687"/>
    <cellStyle name="Обычный 19 7 2 3" xfId="3855"/>
    <cellStyle name="Обычный 19 7 3" xfId="3856"/>
    <cellStyle name="Обычный 19 7 3 2" xfId="6688"/>
    <cellStyle name="Обычный 19 7 4" xfId="3857"/>
    <cellStyle name="Обычный 19 8" xfId="828"/>
    <cellStyle name="Обычный 19 8 2" xfId="3858"/>
    <cellStyle name="Обычный 19 8 2 2" xfId="6689"/>
    <cellStyle name="Обычный 19 8 3" xfId="3859"/>
    <cellStyle name="Обычный 19 9" xfId="829"/>
    <cellStyle name="Обычный 19 9 2" xfId="3860"/>
    <cellStyle name="Обычный 19 9 2 2" xfId="6690"/>
    <cellStyle name="Обычный 19 9 3" xfId="3861"/>
    <cellStyle name="Обычный 19_Расчет скв 3П Яснополянской  БУ румынский  без ВСП от 09082019" xfId="2003"/>
    <cellStyle name="Обычный 2" xfId="830"/>
    <cellStyle name="Обычный 2 2" xfId="831"/>
    <cellStyle name="Обычный 2 2 2" xfId="832"/>
    <cellStyle name="Обычный 2 2 2 2" xfId="1962"/>
    <cellStyle name="Обычный 2 2 3" xfId="833"/>
    <cellStyle name="Обычный 2 2_№ 2.1.Монтаж" xfId="834"/>
    <cellStyle name="Обычный 2 3" xfId="835"/>
    <cellStyle name="Обычный 2 3 2" xfId="836"/>
    <cellStyle name="Обычный 2 38" xfId="3862"/>
    <cellStyle name="Обычный 2_Расчет скв 3П Яснополянской  БУ румынский  без ВСП от 09082019" xfId="2004"/>
    <cellStyle name="Обычный 20" xfId="837"/>
    <cellStyle name="Обычный 20 2" xfId="838"/>
    <cellStyle name="Обычный 20 3" xfId="839"/>
    <cellStyle name="Обычный 20 4" xfId="840"/>
    <cellStyle name="Обычный 21" xfId="841"/>
    <cellStyle name="Обычный 21 2" xfId="842"/>
    <cellStyle name="Обычный 21 3" xfId="843"/>
    <cellStyle name="Обычный 21 4" xfId="844"/>
    <cellStyle name="Обычный 22" xfId="845"/>
    <cellStyle name="Обычный 22 2" xfId="846"/>
    <cellStyle name="Обычный 22 3" xfId="847"/>
    <cellStyle name="Обычный 22 4" xfId="848"/>
    <cellStyle name="Обычный 23" xfId="849"/>
    <cellStyle name="Обычный 23 2" xfId="850"/>
    <cellStyle name="Обычный 23 3" xfId="851"/>
    <cellStyle name="Обычный 23 4" xfId="852"/>
    <cellStyle name="Обычный 24" xfId="853"/>
    <cellStyle name="Обычный 24 2" xfId="2005"/>
    <cellStyle name="Обычный 24 3" xfId="2189"/>
    <cellStyle name="Обычный 25" xfId="1952"/>
    <cellStyle name="Обычный 26" xfId="1960"/>
    <cellStyle name="Обычный 27" xfId="5969"/>
    <cellStyle name="Обычный 27 3" xfId="1953"/>
    <cellStyle name="Обычный 3" xfId="854"/>
    <cellStyle name="Обычный 3 10" xfId="855"/>
    <cellStyle name="Обычный 3 10 2" xfId="856"/>
    <cellStyle name="Обычный 3 10 2 2" xfId="3863"/>
    <cellStyle name="Обычный 3 10 2 2 2" xfId="6691"/>
    <cellStyle name="Обычный 3 10 2 3" xfId="3864"/>
    <cellStyle name="Обычный 3 10 3" xfId="3865"/>
    <cellStyle name="Обычный 3 10 3 2" xfId="6692"/>
    <cellStyle name="Обычный 3 10 4" xfId="3866"/>
    <cellStyle name="Обычный 3 11" xfId="857"/>
    <cellStyle name="Обычный 3 11 2" xfId="3867"/>
    <cellStyle name="Обычный 3 11 2 2" xfId="6693"/>
    <cellStyle name="Обычный 3 11 3" xfId="3868"/>
    <cellStyle name="Обычный 3 12" xfId="858"/>
    <cellStyle name="Обычный 3 12 2" xfId="3869"/>
    <cellStyle name="Обычный 3 12 2 2" xfId="6694"/>
    <cellStyle name="Обычный 3 12 3" xfId="3870"/>
    <cellStyle name="Обычный 3 13" xfId="859"/>
    <cellStyle name="Обычный 3 13 2" xfId="3871"/>
    <cellStyle name="Обычный 3 13 2 2" xfId="6695"/>
    <cellStyle name="Обычный 3 13 3" xfId="3872"/>
    <cellStyle name="Обычный 3 14" xfId="860"/>
    <cellStyle name="Обычный 3 14 2" xfId="3873"/>
    <cellStyle name="Обычный 3 14 2 2" xfId="6696"/>
    <cellStyle name="Обычный 3 14 3" xfId="3874"/>
    <cellStyle name="Обычный 3 15" xfId="1963"/>
    <cellStyle name="Обычный 3 2" xfId="861"/>
    <cellStyle name="Обычный 3 2 10" xfId="862"/>
    <cellStyle name="Обычный 3 2 10 2" xfId="3875"/>
    <cellStyle name="Обычный 3 2 10 2 2" xfId="6697"/>
    <cellStyle name="Обычный 3 2 10 3" xfId="3876"/>
    <cellStyle name="Обычный 3 2 11" xfId="2190"/>
    <cellStyle name="Обычный 3 2 2" xfId="863"/>
    <cellStyle name="Обычный 3 2 2 2" xfId="864"/>
    <cellStyle name="Обычный 3 2 2 2 2" xfId="865"/>
    <cellStyle name="Обычный 3 2 2 2 2 2" xfId="866"/>
    <cellStyle name="Обычный 3 2 2 2 2 2 2" xfId="3877"/>
    <cellStyle name="Обычный 3 2 2 2 2 2 2 2" xfId="6698"/>
    <cellStyle name="Обычный 3 2 2 2 2 2 3" xfId="3878"/>
    <cellStyle name="Обычный 3 2 2 2 2 3" xfId="3879"/>
    <cellStyle name="Обычный 3 2 2 2 2 3 2" xfId="6699"/>
    <cellStyle name="Обычный 3 2 2 2 2 4" xfId="3880"/>
    <cellStyle name="Обычный 3 2 2 2 3" xfId="867"/>
    <cellStyle name="Обычный 3 2 2 2 3 2" xfId="3881"/>
    <cellStyle name="Обычный 3 2 2 2 3 2 2" xfId="6700"/>
    <cellStyle name="Обычный 3 2 2 2 3 3" xfId="3882"/>
    <cellStyle name="Обычный 3 2 2 2 4" xfId="868"/>
    <cellStyle name="Обычный 3 2 2 2 4 2" xfId="3883"/>
    <cellStyle name="Обычный 3 2 2 2 4 2 2" xfId="6701"/>
    <cellStyle name="Обычный 3 2 2 2 4 3" xfId="3884"/>
    <cellStyle name="Обычный 3 2 2 2 5" xfId="869"/>
    <cellStyle name="Обычный 3 2 2 2 5 2" xfId="3885"/>
    <cellStyle name="Обычный 3 2 2 2 5 2 2" xfId="6702"/>
    <cellStyle name="Обычный 3 2 2 2 5 3" xfId="3886"/>
    <cellStyle name="Обычный 3 2 2 2 6" xfId="2191"/>
    <cellStyle name="Обычный 3 2 2 2 6 2" xfId="3887"/>
    <cellStyle name="Обычный 3 2 2 2 7" xfId="3888"/>
    <cellStyle name="Обычный 3 2 2 2 8" xfId="6703"/>
    <cellStyle name="Обычный 3 2 2 3" xfId="870"/>
    <cellStyle name="Обычный 3 2 2 3 2" xfId="871"/>
    <cellStyle name="Обычный 3 2 2 3 2 2" xfId="3889"/>
    <cellStyle name="Обычный 3 2 2 3 2 2 2" xfId="6704"/>
    <cellStyle name="Обычный 3 2 2 3 2 3" xfId="3890"/>
    <cellStyle name="Обычный 3 2 2 3 3" xfId="3891"/>
    <cellStyle name="Обычный 3 2 2 3 3 2" xfId="6705"/>
    <cellStyle name="Обычный 3 2 2 3 4" xfId="3892"/>
    <cellStyle name="Обычный 3 2 2 4" xfId="872"/>
    <cellStyle name="Обычный 3 2 2 4 2" xfId="3893"/>
    <cellStyle name="Обычный 3 2 2 4 2 2" xfId="6706"/>
    <cellStyle name="Обычный 3 2 2 4 3" xfId="3894"/>
    <cellStyle name="Обычный 3 2 2 5" xfId="873"/>
    <cellStyle name="Обычный 3 2 2 5 2" xfId="3895"/>
    <cellStyle name="Обычный 3 2 2 5 2 2" xfId="6707"/>
    <cellStyle name="Обычный 3 2 2 5 3" xfId="3896"/>
    <cellStyle name="Обычный 3 2 2 6" xfId="874"/>
    <cellStyle name="Обычный 3 2 2 6 2" xfId="3897"/>
    <cellStyle name="Обычный 3 2 2 6 2 2" xfId="6708"/>
    <cellStyle name="Обычный 3 2 2 6 3" xfId="3898"/>
    <cellStyle name="Обычный 3 2 2 7" xfId="2192"/>
    <cellStyle name="Обычный 3 2 2 7 2" xfId="3899"/>
    <cellStyle name="Обычный 3 2 2 8" xfId="3900"/>
    <cellStyle name="Обычный 3 2 2 9" xfId="6709"/>
    <cellStyle name="Обычный 3 2 2_Расчет скв 3П Яснополянской  БУ румынский  без ВСП от 09082019" xfId="2006"/>
    <cellStyle name="Обычный 3 2 3" xfId="875"/>
    <cellStyle name="Обычный 3 2 3 2" xfId="876"/>
    <cellStyle name="Обычный 3 2 3 2 2" xfId="877"/>
    <cellStyle name="Обычный 3 2 3 2 2 2" xfId="3901"/>
    <cellStyle name="Обычный 3 2 3 2 2 2 2" xfId="6710"/>
    <cellStyle name="Обычный 3 2 3 2 2 3" xfId="3902"/>
    <cellStyle name="Обычный 3 2 3 2 3" xfId="3903"/>
    <cellStyle name="Обычный 3 2 3 2 3 2" xfId="6711"/>
    <cellStyle name="Обычный 3 2 3 2 4" xfId="3904"/>
    <cellStyle name="Обычный 3 2 3 3" xfId="878"/>
    <cellStyle name="Обычный 3 2 3 3 2" xfId="3905"/>
    <cellStyle name="Обычный 3 2 3 3 2 2" xfId="6712"/>
    <cellStyle name="Обычный 3 2 3 3 3" xfId="3906"/>
    <cellStyle name="Обычный 3 2 3 4" xfId="879"/>
    <cellStyle name="Обычный 3 2 3 4 2" xfId="3907"/>
    <cellStyle name="Обычный 3 2 3 4 2 2" xfId="6713"/>
    <cellStyle name="Обычный 3 2 3 4 3" xfId="3908"/>
    <cellStyle name="Обычный 3 2 3 5" xfId="880"/>
    <cellStyle name="Обычный 3 2 3 5 2" xfId="3909"/>
    <cellStyle name="Обычный 3 2 3 5 2 2" xfId="6714"/>
    <cellStyle name="Обычный 3 2 3 5 3" xfId="3910"/>
    <cellStyle name="Обычный 3 2 3 6" xfId="2193"/>
    <cellStyle name="Обычный 3 2 3 6 2" xfId="3911"/>
    <cellStyle name="Обычный 3 2 3 7" xfId="3912"/>
    <cellStyle name="Обычный 3 2 3 8" xfId="6715"/>
    <cellStyle name="Обычный 3 2 4" xfId="881"/>
    <cellStyle name="Обычный 3 2 4 2" xfId="882"/>
    <cellStyle name="Обычный 3 2 4 2 2" xfId="883"/>
    <cellStyle name="Обычный 3 2 4 2 2 2" xfId="3913"/>
    <cellStyle name="Обычный 3 2 4 2 2 2 2" xfId="6716"/>
    <cellStyle name="Обычный 3 2 4 2 2 3" xfId="3914"/>
    <cellStyle name="Обычный 3 2 4 2 3" xfId="3915"/>
    <cellStyle name="Обычный 3 2 4 2 3 2" xfId="6717"/>
    <cellStyle name="Обычный 3 2 4 2 4" xfId="3916"/>
    <cellStyle name="Обычный 3 2 4 3" xfId="884"/>
    <cellStyle name="Обычный 3 2 4 3 2" xfId="3917"/>
    <cellStyle name="Обычный 3 2 4 3 2 2" xfId="6718"/>
    <cellStyle name="Обычный 3 2 4 3 3" xfId="3918"/>
    <cellStyle name="Обычный 3 2 4 4" xfId="885"/>
    <cellStyle name="Обычный 3 2 4 4 2" xfId="3919"/>
    <cellStyle name="Обычный 3 2 4 4 2 2" xfId="6719"/>
    <cellStyle name="Обычный 3 2 4 4 3" xfId="3920"/>
    <cellStyle name="Обычный 3 2 4 5" xfId="886"/>
    <cellStyle name="Обычный 3 2 4 5 2" xfId="3921"/>
    <cellStyle name="Обычный 3 2 4 5 2 2" xfId="6720"/>
    <cellStyle name="Обычный 3 2 4 5 3" xfId="3922"/>
    <cellStyle name="Обычный 3 2 4 6" xfId="2194"/>
    <cellStyle name="Обычный 3 2 4 6 2" xfId="3923"/>
    <cellStyle name="Обычный 3 2 4 7" xfId="3924"/>
    <cellStyle name="Обычный 3 2 4 8" xfId="6721"/>
    <cellStyle name="Обычный 3 2 5" xfId="887"/>
    <cellStyle name="Обычный 3 2 5 2" xfId="888"/>
    <cellStyle name="Обычный 3 2 5 2 2" xfId="889"/>
    <cellStyle name="Обычный 3 2 5 2 2 2" xfId="3925"/>
    <cellStyle name="Обычный 3 2 5 2 2 2 2" xfId="6722"/>
    <cellStyle name="Обычный 3 2 5 2 2 3" xfId="3926"/>
    <cellStyle name="Обычный 3 2 5 2 3" xfId="3927"/>
    <cellStyle name="Обычный 3 2 5 2 3 2" xfId="6723"/>
    <cellStyle name="Обычный 3 2 5 2 4" xfId="3928"/>
    <cellStyle name="Обычный 3 2 5 3" xfId="890"/>
    <cellStyle name="Обычный 3 2 5 3 2" xfId="3929"/>
    <cellStyle name="Обычный 3 2 5 3 2 2" xfId="6724"/>
    <cellStyle name="Обычный 3 2 5 3 3" xfId="3930"/>
    <cellStyle name="Обычный 3 2 5 4" xfId="891"/>
    <cellStyle name="Обычный 3 2 5 4 2" xfId="3931"/>
    <cellStyle name="Обычный 3 2 5 4 2 2" xfId="6725"/>
    <cellStyle name="Обычный 3 2 5 4 3" xfId="3932"/>
    <cellStyle name="Обычный 3 2 5 5" xfId="892"/>
    <cellStyle name="Обычный 3 2 5 5 2" xfId="3933"/>
    <cellStyle name="Обычный 3 2 5 5 2 2" xfId="6726"/>
    <cellStyle name="Обычный 3 2 5 5 3" xfId="3934"/>
    <cellStyle name="Обычный 3 2 5 6" xfId="2195"/>
    <cellStyle name="Обычный 3 2 5 6 2" xfId="3935"/>
    <cellStyle name="Обычный 3 2 5 7" xfId="3936"/>
    <cellStyle name="Обычный 3 2 5 8" xfId="6727"/>
    <cellStyle name="Обычный 3 2 6" xfId="893"/>
    <cellStyle name="Обычный 3 2 6 2" xfId="894"/>
    <cellStyle name="Обычный 3 2 6 2 2" xfId="3937"/>
    <cellStyle name="Обычный 3 2 6 2 2 2" xfId="6728"/>
    <cellStyle name="Обычный 3 2 6 2 3" xfId="3938"/>
    <cellStyle name="Обычный 3 2 6 3" xfId="3939"/>
    <cellStyle name="Обычный 3 2 6 3 2" xfId="6729"/>
    <cellStyle name="Обычный 3 2 6 4" xfId="3940"/>
    <cellStyle name="Обычный 3 2 7" xfId="895"/>
    <cellStyle name="Обычный 3 2 7 2" xfId="3941"/>
    <cellStyle name="Обычный 3 2 7 2 2" xfId="6730"/>
    <cellStyle name="Обычный 3 2 7 3" xfId="3942"/>
    <cellStyle name="Обычный 3 2 8" xfId="896"/>
    <cellStyle name="Обычный 3 2 8 2" xfId="3943"/>
    <cellStyle name="Обычный 3 2 8 2 2" xfId="6731"/>
    <cellStyle name="Обычный 3 2 8 3" xfId="3944"/>
    <cellStyle name="Обычный 3 2 9" xfId="897"/>
    <cellStyle name="Обычный 3 2 9 2" xfId="3945"/>
    <cellStyle name="Обычный 3 2 9 2 2" xfId="6732"/>
    <cellStyle name="Обычный 3 2 9 3" xfId="3946"/>
    <cellStyle name="Обычный 3 2_Расчет скв 3П Яснополянской  БУ румынский  без ВСП от 09082019" xfId="2007"/>
    <cellStyle name="Обычный 3 3" xfId="898"/>
    <cellStyle name="Обычный 3 3 10" xfId="899"/>
    <cellStyle name="Обычный 3 3 10 2" xfId="3947"/>
    <cellStyle name="Обычный 3 3 10 2 2" xfId="6733"/>
    <cellStyle name="Обычный 3 3 10 3" xfId="3948"/>
    <cellStyle name="Обычный 3 3 11" xfId="2196"/>
    <cellStyle name="Обычный 3 3 11 2" xfId="3949"/>
    <cellStyle name="Обычный 3 3 12" xfId="3950"/>
    <cellStyle name="Обычный 3 3 13" xfId="6734"/>
    <cellStyle name="Обычный 3 3 2" xfId="900"/>
    <cellStyle name="Обычный 3 3 3" xfId="901"/>
    <cellStyle name="Обычный 3 3 3 2" xfId="902"/>
    <cellStyle name="Обычный 3 3 3 2 2" xfId="903"/>
    <cellStyle name="Обычный 3 3 3 2 2 2" xfId="904"/>
    <cellStyle name="Обычный 3 3 3 2 2 2 2" xfId="3951"/>
    <cellStyle name="Обычный 3 3 3 2 2 2 2 2" xfId="6735"/>
    <cellStyle name="Обычный 3 3 3 2 2 2 3" xfId="3952"/>
    <cellStyle name="Обычный 3 3 3 2 2 3" xfId="3953"/>
    <cellStyle name="Обычный 3 3 3 2 2 3 2" xfId="6736"/>
    <cellStyle name="Обычный 3 3 3 2 2 4" xfId="3954"/>
    <cellStyle name="Обычный 3 3 3 2 3" xfId="905"/>
    <cellStyle name="Обычный 3 3 3 2 3 2" xfId="3955"/>
    <cellStyle name="Обычный 3 3 3 2 3 2 2" xfId="6737"/>
    <cellStyle name="Обычный 3 3 3 2 3 3" xfId="3956"/>
    <cellStyle name="Обычный 3 3 3 2 4" xfId="906"/>
    <cellStyle name="Обычный 3 3 3 2 4 2" xfId="3957"/>
    <cellStyle name="Обычный 3 3 3 2 4 2 2" xfId="6738"/>
    <cellStyle name="Обычный 3 3 3 2 4 3" xfId="3958"/>
    <cellStyle name="Обычный 3 3 3 2 5" xfId="907"/>
    <cellStyle name="Обычный 3 3 3 2 5 2" xfId="3959"/>
    <cellStyle name="Обычный 3 3 3 2 5 2 2" xfId="6739"/>
    <cellStyle name="Обычный 3 3 3 2 5 3" xfId="3960"/>
    <cellStyle name="Обычный 3 3 3 2 6" xfId="2197"/>
    <cellStyle name="Обычный 3 3 3 2 6 2" xfId="3961"/>
    <cellStyle name="Обычный 3 3 3 2 7" xfId="3962"/>
    <cellStyle name="Обычный 3 3 3 2 8" xfId="6740"/>
    <cellStyle name="Обычный 3 3 3 3" xfId="908"/>
    <cellStyle name="Обычный 3 3 3 3 2" xfId="909"/>
    <cellStyle name="Обычный 3 3 3 3 2 2" xfId="3963"/>
    <cellStyle name="Обычный 3 3 3 3 2 2 2" xfId="6741"/>
    <cellStyle name="Обычный 3 3 3 3 2 3" xfId="3964"/>
    <cellStyle name="Обычный 3 3 3 3 3" xfId="3965"/>
    <cellStyle name="Обычный 3 3 3 3 3 2" xfId="6742"/>
    <cellStyle name="Обычный 3 3 3 3 4" xfId="3966"/>
    <cellStyle name="Обычный 3 3 3 4" xfId="910"/>
    <cellStyle name="Обычный 3 3 3 4 2" xfId="3967"/>
    <cellStyle name="Обычный 3 3 3 4 2 2" xfId="6743"/>
    <cellStyle name="Обычный 3 3 3 4 3" xfId="3968"/>
    <cellStyle name="Обычный 3 3 3 5" xfId="911"/>
    <cellStyle name="Обычный 3 3 3 5 2" xfId="3969"/>
    <cellStyle name="Обычный 3 3 3 5 2 2" xfId="6744"/>
    <cellStyle name="Обычный 3 3 3 5 3" xfId="3970"/>
    <cellStyle name="Обычный 3 3 3 6" xfId="912"/>
    <cellStyle name="Обычный 3 3 3 6 2" xfId="3971"/>
    <cellStyle name="Обычный 3 3 3 6 2 2" xfId="6745"/>
    <cellStyle name="Обычный 3 3 3 6 3" xfId="3972"/>
    <cellStyle name="Обычный 3 3 3 7" xfId="2198"/>
    <cellStyle name="Обычный 3 3 3 7 2" xfId="3973"/>
    <cellStyle name="Обычный 3 3 3 8" xfId="3974"/>
    <cellStyle name="Обычный 3 3 3 9" xfId="6746"/>
    <cellStyle name="Обычный 3 3 3_Расчет скв 3П Яснополянской  БУ румынский  без ВСП от 09082019" xfId="2008"/>
    <cellStyle name="Обычный 3 3 4" xfId="913"/>
    <cellStyle name="Обычный 3 3 4 2" xfId="914"/>
    <cellStyle name="Обычный 3 3 4 2 2" xfId="915"/>
    <cellStyle name="Обычный 3 3 4 2 2 2" xfId="3975"/>
    <cellStyle name="Обычный 3 3 4 2 2 2 2" xfId="6747"/>
    <cellStyle name="Обычный 3 3 4 2 2 3" xfId="3976"/>
    <cellStyle name="Обычный 3 3 4 2 3" xfId="3977"/>
    <cellStyle name="Обычный 3 3 4 2 3 2" xfId="6748"/>
    <cellStyle name="Обычный 3 3 4 2 4" xfId="3978"/>
    <cellStyle name="Обычный 3 3 4 3" xfId="916"/>
    <cellStyle name="Обычный 3 3 4 3 2" xfId="3979"/>
    <cellStyle name="Обычный 3 3 4 3 2 2" xfId="6749"/>
    <cellStyle name="Обычный 3 3 4 3 3" xfId="3980"/>
    <cellStyle name="Обычный 3 3 4 4" xfId="917"/>
    <cellStyle name="Обычный 3 3 4 4 2" xfId="3981"/>
    <cellStyle name="Обычный 3 3 4 4 2 2" xfId="6750"/>
    <cellStyle name="Обычный 3 3 4 4 3" xfId="3982"/>
    <cellStyle name="Обычный 3 3 4 5" xfId="918"/>
    <cellStyle name="Обычный 3 3 4 5 2" xfId="3983"/>
    <cellStyle name="Обычный 3 3 4 5 2 2" xfId="6751"/>
    <cellStyle name="Обычный 3 3 4 5 3" xfId="3984"/>
    <cellStyle name="Обычный 3 3 4 6" xfId="2199"/>
    <cellStyle name="Обычный 3 3 4 6 2" xfId="3985"/>
    <cellStyle name="Обычный 3 3 4 7" xfId="3986"/>
    <cellStyle name="Обычный 3 3 4 8" xfId="6752"/>
    <cellStyle name="Обычный 3 3 5" xfId="919"/>
    <cellStyle name="Обычный 3 3 5 2" xfId="920"/>
    <cellStyle name="Обычный 3 3 5 2 2" xfId="921"/>
    <cellStyle name="Обычный 3 3 5 2 2 2" xfId="3987"/>
    <cellStyle name="Обычный 3 3 5 2 2 2 2" xfId="6753"/>
    <cellStyle name="Обычный 3 3 5 2 2 3" xfId="3988"/>
    <cellStyle name="Обычный 3 3 5 2 3" xfId="3989"/>
    <cellStyle name="Обычный 3 3 5 2 3 2" xfId="6754"/>
    <cellStyle name="Обычный 3 3 5 2 4" xfId="3990"/>
    <cellStyle name="Обычный 3 3 5 3" xfId="922"/>
    <cellStyle name="Обычный 3 3 5 3 2" xfId="3991"/>
    <cellStyle name="Обычный 3 3 5 3 2 2" xfId="6755"/>
    <cellStyle name="Обычный 3 3 5 3 3" xfId="3992"/>
    <cellStyle name="Обычный 3 3 5 4" xfId="923"/>
    <cellStyle name="Обычный 3 3 5 4 2" xfId="3993"/>
    <cellStyle name="Обычный 3 3 5 4 2 2" xfId="6756"/>
    <cellStyle name="Обычный 3 3 5 4 3" xfId="3994"/>
    <cellStyle name="Обычный 3 3 5 5" xfId="924"/>
    <cellStyle name="Обычный 3 3 5 5 2" xfId="3995"/>
    <cellStyle name="Обычный 3 3 5 5 2 2" xfId="6757"/>
    <cellStyle name="Обычный 3 3 5 5 3" xfId="3996"/>
    <cellStyle name="Обычный 3 3 5 6" xfId="2200"/>
    <cellStyle name="Обычный 3 3 5 6 2" xfId="3997"/>
    <cellStyle name="Обычный 3 3 5 7" xfId="3998"/>
    <cellStyle name="Обычный 3 3 5 8" xfId="6758"/>
    <cellStyle name="Обычный 3 3 6" xfId="925"/>
    <cellStyle name="Обычный 3 3 6 2" xfId="926"/>
    <cellStyle name="Обычный 3 3 6 2 2" xfId="927"/>
    <cellStyle name="Обычный 3 3 6 2 2 2" xfId="3999"/>
    <cellStyle name="Обычный 3 3 6 2 2 2 2" xfId="6759"/>
    <cellStyle name="Обычный 3 3 6 2 2 3" xfId="4000"/>
    <cellStyle name="Обычный 3 3 6 2 3" xfId="4001"/>
    <cellStyle name="Обычный 3 3 6 2 3 2" xfId="6760"/>
    <cellStyle name="Обычный 3 3 6 2 4" xfId="4002"/>
    <cellStyle name="Обычный 3 3 6 3" xfId="928"/>
    <cellStyle name="Обычный 3 3 6 3 2" xfId="4003"/>
    <cellStyle name="Обычный 3 3 6 3 2 2" xfId="6761"/>
    <cellStyle name="Обычный 3 3 6 3 3" xfId="4004"/>
    <cellStyle name="Обычный 3 3 6 4" xfId="929"/>
    <cellStyle name="Обычный 3 3 6 4 2" xfId="4005"/>
    <cellStyle name="Обычный 3 3 6 4 2 2" xfId="6762"/>
    <cellStyle name="Обычный 3 3 6 4 3" xfId="4006"/>
    <cellStyle name="Обычный 3 3 6 5" xfId="930"/>
    <cellStyle name="Обычный 3 3 6 5 2" xfId="4007"/>
    <cellStyle name="Обычный 3 3 6 5 2 2" xfId="6763"/>
    <cellStyle name="Обычный 3 3 6 5 3" xfId="4008"/>
    <cellStyle name="Обычный 3 3 6 6" xfId="2201"/>
    <cellStyle name="Обычный 3 3 6 6 2" xfId="4009"/>
    <cellStyle name="Обычный 3 3 6 7" xfId="4010"/>
    <cellStyle name="Обычный 3 3 6 8" xfId="6764"/>
    <cellStyle name="Обычный 3 3 7" xfId="931"/>
    <cellStyle name="Обычный 3 3 7 2" xfId="932"/>
    <cellStyle name="Обычный 3 3 7 2 2" xfId="4011"/>
    <cellStyle name="Обычный 3 3 7 2 2 2" xfId="6765"/>
    <cellStyle name="Обычный 3 3 7 2 3" xfId="4012"/>
    <cellStyle name="Обычный 3 3 7 3" xfId="4013"/>
    <cellStyle name="Обычный 3 3 7 3 2" xfId="6766"/>
    <cellStyle name="Обычный 3 3 7 4" xfId="4014"/>
    <cellStyle name="Обычный 3 3 8" xfId="933"/>
    <cellStyle name="Обычный 3 3 8 2" xfId="4015"/>
    <cellStyle name="Обычный 3 3 8 2 2" xfId="6767"/>
    <cellStyle name="Обычный 3 3 8 3" xfId="4016"/>
    <cellStyle name="Обычный 3 3 9" xfId="934"/>
    <cellStyle name="Обычный 3 3 9 2" xfId="4017"/>
    <cellStyle name="Обычный 3 3 9 2 2" xfId="6768"/>
    <cellStyle name="Обычный 3 3 9 3" xfId="4018"/>
    <cellStyle name="Обычный 3 3_Расчет скв 3П Яснополянской  БУ румынский  без ВСП от 09082019" xfId="2009"/>
    <cellStyle name="Обычный 3 4" xfId="935"/>
    <cellStyle name="Обычный 3 4 10" xfId="2202"/>
    <cellStyle name="Обычный 3 4 10 2" xfId="4019"/>
    <cellStyle name="Обычный 3 4 11" xfId="4020"/>
    <cellStyle name="Обычный 3 4 12" xfId="6769"/>
    <cellStyle name="Обычный 3 4 2" xfId="936"/>
    <cellStyle name="Обычный 3 4 2 2" xfId="937"/>
    <cellStyle name="Обычный 3 4 2 2 2" xfId="938"/>
    <cellStyle name="Обычный 3 4 2 2 2 2" xfId="939"/>
    <cellStyle name="Обычный 3 4 2 2 2 2 2" xfId="4021"/>
    <cellStyle name="Обычный 3 4 2 2 2 2 2 2" xfId="6770"/>
    <cellStyle name="Обычный 3 4 2 2 2 2 3" xfId="4022"/>
    <cellStyle name="Обычный 3 4 2 2 2 3" xfId="4023"/>
    <cellStyle name="Обычный 3 4 2 2 2 3 2" xfId="6771"/>
    <cellStyle name="Обычный 3 4 2 2 2 4" xfId="4024"/>
    <cellStyle name="Обычный 3 4 2 2 3" xfId="940"/>
    <cellStyle name="Обычный 3 4 2 2 3 2" xfId="4025"/>
    <cellStyle name="Обычный 3 4 2 2 3 2 2" xfId="6772"/>
    <cellStyle name="Обычный 3 4 2 2 3 3" xfId="4026"/>
    <cellStyle name="Обычный 3 4 2 2 4" xfId="941"/>
    <cellStyle name="Обычный 3 4 2 2 4 2" xfId="4027"/>
    <cellStyle name="Обычный 3 4 2 2 4 2 2" xfId="6773"/>
    <cellStyle name="Обычный 3 4 2 2 4 3" xfId="4028"/>
    <cellStyle name="Обычный 3 4 2 2 5" xfId="942"/>
    <cellStyle name="Обычный 3 4 2 2 5 2" xfId="4029"/>
    <cellStyle name="Обычный 3 4 2 2 5 2 2" xfId="6774"/>
    <cellStyle name="Обычный 3 4 2 2 5 3" xfId="4030"/>
    <cellStyle name="Обычный 3 4 2 2 6" xfId="2203"/>
    <cellStyle name="Обычный 3 4 2 2 6 2" xfId="4031"/>
    <cellStyle name="Обычный 3 4 2 2 7" xfId="4032"/>
    <cellStyle name="Обычный 3 4 2 2 8" xfId="6775"/>
    <cellStyle name="Обычный 3 4 2 3" xfId="943"/>
    <cellStyle name="Обычный 3 4 2 3 2" xfId="944"/>
    <cellStyle name="Обычный 3 4 2 3 2 2" xfId="4033"/>
    <cellStyle name="Обычный 3 4 2 3 2 2 2" xfId="6776"/>
    <cellStyle name="Обычный 3 4 2 3 2 3" xfId="4034"/>
    <cellStyle name="Обычный 3 4 2 3 3" xfId="4035"/>
    <cellStyle name="Обычный 3 4 2 3 3 2" xfId="6777"/>
    <cellStyle name="Обычный 3 4 2 3 4" xfId="4036"/>
    <cellStyle name="Обычный 3 4 2 4" xfId="945"/>
    <cellStyle name="Обычный 3 4 2 4 2" xfId="4037"/>
    <cellStyle name="Обычный 3 4 2 4 2 2" xfId="6778"/>
    <cellStyle name="Обычный 3 4 2 4 3" xfId="4038"/>
    <cellStyle name="Обычный 3 4 2 5" xfId="946"/>
    <cellStyle name="Обычный 3 4 2 5 2" xfId="4039"/>
    <cellStyle name="Обычный 3 4 2 5 2 2" xfId="6779"/>
    <cellStyle name="Обычный 3 4 2 5 3" xfId="4040"/>
    <cellStyle name="Обычный 3 4 2 6" xfId="947"/>
    <cellStyle name="Обычный 3 4 2 6 2" xfId="4041"/>
    <cellStyle name="Обычный 3 4 2 6 2 2" xfId="6780"/>
    <cellStyle name="Обычный 3 4 2 6 3" xfId="4042"/>
    <cellStyle name="Обычный 3 4 2 7" xfId="2204"/>
    <cellStyle name="Обычный 3 4 2 7 2" xfId="4043"/>
    <cellStyle name="Обычный 3 4 2 8" xfId="4044"/>
    <cellStyle name="Обычный 3 4 2 9" xfId="6781"/>
    <cellStyle name="Обычный 3 4 2_Расчет скв 3П Яснополянской  БУ румынский  без ВСП от 09082019" xfId="2010"/>
    <cellStyle name="Обычный 3 4 3" xfId="948"/>
    <cellStyle name="Обычный 3 4 3 2" xfId="949"/>
    <cellStyle name="Обычный 3 4 3 2 2" xfId="950"/>
    <cellStyle name="Обычный 3 4 3 2 2 2" xfId="4045"/>
    <cellStyle name="Обычный 3 4 3 2 2 2 2" xfId="6782"/>
    <cellStyle name="Обычный 3 4 3 2 2 3" xfId="4046"/>
    <cellStyle name="Обычный 3 4 3 2 3" xfId="4047"/>
    <cellStyle name="Обычный 3 4 3 2 3 2" xfId="6783"/>
    <cellStyle name="Обычный 3 4 3 2 4" xfId="4048"/>
    <cellStyle name="Обычный 3 4 3 3" xfId="951"/>
    <cellStyle name="Обычный 3 4 3 3 2" xfId="4049"/>
    <cellStyle name="Обычный 3 4 3 3 2 2" xfId="6784"/>
    <cellStyle name="Обычный 3 4 3 3 3" xfId="4050"/>
    <cellStyle name="Обычный 3 4 3 4" xfId="952"/>
    <cellStyle name="Обычный 3 4 3 4 2" xfId="4051"/>
    <cellStyle name="Обычный 3 4 3 4 2 2" xfId="6785"/>
    <cellStyle name="Обычный 3 4 3 4 3" xfId="4052"/>
    <cellStyle name="Обычный 3 4 3 5" xfId="953"/>
    <cellStyle name="Обычный 3 4 3 5 2" xfId="4053"/>
    <cellStyle name="Обычный 3 4 3 5 2 2" xfId="6786"/>
    <cellStyle name="Обычный 3 4 3 5 3" xfId="4054"/>
    <cellStyle name="Обычный 3 4 3 6" xfId="2205"/>
    <cellStyle name="Обычный 3 4 3 6 2" xfId="4055"/>
    <cellStyle name="Обычный 3 4 3 7" xfId="4056"/>
    <cellStyle name="Обычный 3 4 3 8" xfId="6787"/>
    <cellStyle name="Обычный 3 4 4" xfId="954"/>
    <cellStyle name="Обычный 3 4 4 2" xfId="955"/>
    <cellStyle name="Обычный 3 4 4 2 2" xfId="956"/>
    <cellStyle name="Обычный 3 4 4 2 2 2" xfId="4057"/>
    <cellStyle name="Обычный 3 4 4 2 2 2 2" xfId="6788"/>
    <cellStyle name="Обычный 3 4 4 2 2 3" xfId="4058"/>
    <cellStyle name="Обычный 3 4 4 2 3" xfId="4059"/>
    <cellStyle name="Обычный 3 4 4 2 3 2" xfId="6789"/>
    <cellStyle name="Обычный 3 4 4 2 4" xfId="4060"/>
    <cellStyle name="Обычный 3 4 4 3" xfId="957"/>
    <cellStyle name="Обычный 3 4 4 3 2" xfId="4061"/>
    <cellStyle name="Обычный 3 4 4 3 2 2" xfId="6790"/>
    <cellStyle name="Обычный 3 4 4 3 3" xfId="4062"/>
    <cellStyle name="Обычный 3 4 4 4" xfId="958"/>
    <cellStyle name="Обычный 3 4 4 4 2" xfId="4063"/>
    <cellStyle name="Обычный 3 4 4 4 2 2" xfId="6791"/>
    <cellStyle name="Обычный 3 4 4 4 3" xfId="4064"/>
    <cellStyle name="Обычный 3 4 4 5" xfId="959"/>
    <cellStyle name="Обычный 3 4 4 5 2" xfId="4065"/>
    <cellStyle name="Обычный 3 4 4 5 2 2" xfId="6792"/>
    <cellStyle name="Обычный 3 4 4 5 3" xfId="4066"/>
    <cellStyle name="Обычный 3 4 4 6" xfId="2206"/>
    <cellStyle name="Обычный 3 4 4 6 2" xfId="4067"/>
    <cellStyle name="Обычный 3 4 4 7" xfId="4068"/>
    <cellStyle name="Обычный 3 4 4 8" xfId="6793"/>
    <cellStyle name="Обычный 3 4 5" xfId="960"/>
    <cellStyle name="Обычный 3 4 5 2" xfId="961"/>
    <cellStyle name="Обычный 3 4 5 2 2" xfId="962"/>
    <cellStyle name="Обычный 3 4 5 2 2 2" xfId="4069"/>
    <cellStyle name="Обычный 3 4 5 2 2 2 2" xfId="6794"/>
    <cellStyle name="Обычный 3 4 5 2 2 3" xfId="4070"/>
    <cellStyle name="Обычный 3 4 5 2 3" xfId="4071"/>
    <cellStyle name="Обычный 3 4 5 2 3 2" xfId="6795"/>
    <cellStyle name="Обычный 3 4 5 2 4" xfId="4072"/>
    <cellStyle name="Обычный 3 4 5 3" xfId="963"/>
    <cellStyle name="Обычный 3 4 5 3 2" xfId="4073"/>
    <cellStyle name="Обычный 3 4 5 3 2 2" xfId="6796"/>
    <cellStyle name="Обычный 3 4 5 3 3" xfId="4074"/>
    <cellStyle name="Обычный 3 4 5 4" xfId="964"/>
    <cellStyle name="Обычный 3 4 5 4 2" xfId="4075"/>
    <cellStyle name="Обычный 3 4 5 4 2 2" xfId="6797"/>
    <cellStyle name="Обычный 3 4 5 4 3" xfId="4076"/>
    <cellStyle name="Обычный 3 4 5 5" xfId="965"/>
    <cellStyle name="Обычный 3 4 5 5 2" xfId="4077"/>
    <cellStyle name="Обычный 3 4 5 5 2 2" xfId="6798"/>
    <cellStyle name="Обычный 3 4 5 5 3" xfId="4078"/>
    <cellStyle name="Обычный 3 4 5 6" xfId="2207"/>
    <cellStyle name="Обычный 3 4 5 6 2" xfId="4079"/>
    <cellStyle name="Обычный 3 4 5 7" xfId="4080"/>
    <cellStyle name="Обычный 3 4 5 8" xfId="6799"/>
    <cellStyle name="Обычный 3 4 6" xfId="966"/>
    <cellStyle name="Обычный 3 4 6 2" xfId="967"/>
    <cellStyle name="Обычный 3 4 6 2 2" xfId="4081"/>
    <cellStyle name="Обычный 3 4 6 2 2 2" xfId="6800"/>
    <cellStyle name="Обычный 3 4 6 2 3" xfId="4082"/>
    <cellStyle name="Обычный 3 4 6 3" xfId="4083"/>
    <cellStyle name="Обычный 3 4 6 3 2" xfId="6801"/>
    <cellStyle name="Обычный 3 4 6 4" xfId="4084"/>
    <cellStyle name="Обычный 3 4 7" xfId="968"/>
    <cellStyle name="Обычный 3 4 7 2" xfId="4085"/>
    <cellStyle name="Обычный 3 4 7 2 2" xfId="6802"/>
    <cellStyle name="Обычный 3 4 7 3" xfId="4086"/>
    <cellStyle name="Обычный 3 4 8" xfId="969"/>
    <cellStyle name="Обычный 3 4 8 2" xfId="4087"/>
    <cellStyle name="Обычный 3 4 8 2 2" xfId="6803"/>
    <cellStyle name="Обычный 3 4 8 3" xfId="4088"/>
    <cellStyle name="Обычный 3 4 9" xfId="970"/>
    <cellStyle name="Обычный 3 4 9 2" xfId="4089"/>
    <cellStyle name="Обычный 3 4 9 2 2" xfId="6804"/>
    <cellStyle name="Обычный 3 4 9 3" xfId="4090"/>
    <cellStyle name="Обычный 3 4_Расчет скв 3П Яснополянской  БУ румынский  без ВСП от 09082019" xfId="2011"/>
    <cellStyle name="Обычный 3 5" xfId="971"/>
    <cellStyle name="Обычный 3 5 10" xfId="2208"/>
    <cellStyle name="Обычный 3 5 10 2" xfId="4091"/>
    <cellStyle name="Обычный 3 5 11" xfId="4092"/>
    <cellStyle name="Обычный 3 5 12" xfId="6805"/>
    <cellStyle name="Обычный 3 5 2" xfId="972"/>
    <cellStyle name="Обычный 3 5 2 2" xfId="973"/>
    <cellStyle name="Обычный 3 5 2 2 2" xfId="974"/>
    <cellStyle name="Обычный 3 5 2 2 2 2" xfId="975"/>
    <cellStyle name="Обычный 3 5 2 2 2 2 2" xfId="4093"/>
    <cellStyle name="Обычный 3 5 2 2 2 2 2 2" xfId="6806"/>
    <cellStyle name="Обычный 3 5 2 2 2 2 3" xfId="4094"/>
    <cellStyle name="Обычный 3 5 2 2 2 3" xfId="4095"/>
    <cellStyle name="Обычный 3 5 2 2 2 3 2" xfId="6807"/>
    <cellStyle name="Обычный 3 5 2 2 2 4" xfId="4096"/>
    <cellStyle name="Обычный 3 5 2 2 3" xfId="976"/>
    <cellStyle name="Обычный 3 5 2 2 3 2" xfId="4097"/>
    <cellStyle name="Обычный 3 5 2 2 3 2 2" xfId="6808"/>
    <cellStyle name="Обычный 3 5 2 2 3 3" xfId="4098"/>
    <cellStyle name="Обычный 3 5 2 2 4" xfId="977"/>
    <cellStyle name="Обычный 3 5 2 2 4 2" xfId="4099"/>
    <cellStyle name="Обычный 3 5 2 2 4 2 2" xfId="6809"/>
    <cellStyle name="Обычный 3 5 2 2 4 3" xfId="4100"/>
    <cellStyle name="Обычный 3 5 2 2 5" xfId="978"/>
    <cellStyle name="Обычный 3 5 2 2 5 2" xfId="4101"/>
    <cellStyle name="Обычный 3 5 2 2 5 2 2" xfId="6810"/>
    <cellStyle name="Обычный 3 5 2 2 5 3" xfId="4102"/>
    <cellStyle name="Обычный 3 5 2 2 6" xfId="2209"/>
    <cellStyle name="Обычный 3 5 2 2 6 2" xfId="4103"/>
    <cellStyle name="Обычный 3 5 2 2 7" xfId="4104"/>
    <cellStyle name="Обычный 3 5 2 2 8" xfId="6811"/>
    <cellStyle name="Обычный 3 5 2 3" xfId="979"/>
    <cellStyle name="Обычный 3 5 2 3 2" xfId="980"/>
    <cellStyle name="Обычный 3 5 2 3 2 2" xfId="4105"/>
    <cellStyle name="Обычный 3 5 2 3 2 2 2" xfId="6812"/>
    <cellStyle name="Обычный 3 5 2 3 2 3" xfId="4106"/>
    <cellStyle name="Обычный 3 5 2 3 3" xfId="4107"/>
    <cellStyle name="Обычный 3 5 2 3 3 2" xfId="6813"/>
    <cellStyle name="Обычный 3 5 2 3 4" xfId="4108"/>
    <cellStyle name="Обычный 3 5 2 4" xfId="981"/>
    <cellStyle name="Обычный 3 5 2 4 2" xfId="4109"/>
    <cellStyle name="Обычный 3 5 2 4 2 2" xfId="6814"/>
    <cellStyle name="Обычный 3 5 2 4 3" xfId="4110"/>
    <cellStyle name="Обычный 3 5 2 5" xfId="982"/>
    <cellStyle name="Обычный 3 5 2 5 2" xfId="4111"/>
    <cellStyle name="Обычный 3 5 2 5 2 2" xfId="6815"/>
    <cellStyle name="Обычный 3 5 2 5 3" xfId="4112"/>
    <cellStyle name="Обычный 3 5 2 6" xfId="983"/>
    <cellStyle name="Обычный 3 5 2 6 2" xfId="4113"/>
    <cellStyle name="Обычный 3 5 2 6 2 2" xfId="6816"/>
    <cellStyle name="Обычный 3 5 2 6 3" xfId="4114"/>
    <cellStyle name="Обычный 3 5 2 7" xfId="2210"/>
    <cellStyle name="Обычный 3 5 2 7 2" xfId="4115"/>
    <cellStyle name="Обычный 3 5 2 8" xfId="4116"/>
    <cellStyle name="Обычный 3 5 2 9" xfId="6817"/>
    <cellStyle name="Обычный 3 5 2_Расчет скв 3П Яснополянской  БУ румынский  без ВСП от 09082019" xfId="2012"/>
    <cellStyle name="Обычный 3 5 3" xfId="984"/>
    <cellStyle name="Обычный 3 5 3 2" xfId="985"/>
    <cellStyle name="Обычный 3 5 3 2 2" xfId="986"/>
    <cellStyle name="Обычный 3 5 3 2 2 2" xfId="4117"/>
    <cellStyle name="Обычный 3 5 3 2 2 2 2" xfId="6818"/>
    <cellStyle name="Обычный 3 5 3 2 2 3" xfId="4118"/>
    <cellStyle name="Обычный 3 5 3 2 3" xfId="4119"/>
    <cellStyle name="Обычный 3 5 3 2 3 2" xfId="6819"/>
    <cellStyle name="Обычный 3 5 3 2 4" xfId="4120"/>
    <cellStyle name="Обычный 3 5 3 3" xfId="987"/>
    <cellStyle name="Обычный 3 5 3 3 2" xfId="4121"/>
    <cellStyle name="Обычный 3 5 3 3 2 2" xfId="6820"/>
    <cellStyle name="Обычный 3 5 3 3 3" xfId="4122"/>
    <cellStyle name="Обычный 3 5 3 4" xfId="988"/>
    <cellStyle name="Обычный 3 5 3 4 2" xfId="4123"/>
    <cellStyle name="Обычный 3 5 3 4 2 2" xfId="6821"/>
    <cellStyle name="Обычный 3 5 3 4 3" xfId="4124"/>
    <cellStyle name="Обычный 3 5 3 5" xfId="989"/>
    <cellStyle name="Обычный 3 5 3 5 2" xfId="4125"/>
    <cellStyle name="Обычный 3 5 3 5 2 2" xfId="6822"/>
    <cellStyle name="Обычный 3 5 3 5 3" xfId="4126"/>
    <cellStyle name="Обычный 3 5 3 6" xfId="2211"/>
    <cellStyle name="Обычный 3 5 3 6 2" xfId="4127"/>
    <cellStyle name="Обычный 3 5 3 7" xfId="4128"/>
    <cellStyle name="Обычный 3 5 3 8" xfId="6823"/>
    <cellStyle name="Обычный 3 5 4" xfId="990"/>
    <cellStyle name="Обычный 3 5 4 2" xfId="991"/>
    <cellStyle name="Обычный 3 5 4 2 2" xfId="992"/>
    <cellStyle name="Обычный 3 5 4 2 2 2" xfId="4129"/>
    <cellStyle name="Обычный 3 5 4 2 2 2 2" xfId="6824"/>
    <cellStyle name="Обычный 3 5 4 2 2 3" xfId="4130"/>
    <cellStyle name="Обычный 3 5 4 2 3" xfId="4131"/>
    <cellStyle name="Обычный 3 5 4 2 3 2" xfId="6825"/>
    <cellStyle name="Обычный 3 5 4 2 4" xfId="4132"/>
    <cellStyle name="Обычный 3 5 4 3" xfId="993"/>
    <cellStyle name="Обычный 3 5 4 3 2" xfId="4133"/>
    <cellStyle name="Обычный 3 5 4 3 2 2" xfId="6826"/>
    <cellStyle name="Обычный 3 5 4 3 3" xfId="4134"/>
    <cellStyle name="Обычный 3 5 4 4" xfId="994"/>
    <cellStyle name="Обычный 3 5 4 4 2" xfId="4135"/>
    <cellStyle name="Обычный 3 5 4 4 2 2" xfId="6827"/>
    <cellStyle name="Обычный 3 5 4 4 3" xfId="4136"/>
    <cellStyle name="Обычный 3 5 4 5" xfId="995"/>
    <cellStyle name="Обычный 3 5 4 5 2" xfId="4137"/>
    <cellStyle name="Обычный 3 5 4 5 2 2" xfId="6828"/>
    <cellStyle name="Обычный 3 5 4 5 3" xfId="4138"/>
    <cellStyle name="Обычный 3 5 4 6" xfId="2212"/>
    <cellStyle name="Обычный 3 5 4 6 2" xfId="4139"/>
    <cellStyle name="Обычный 3 5 4 7" xfId="4140"/>
    <cellStyle name="Обычный 3 5 4 8" xfId="6829"/>
    <cellStyle name="Обычный 3 5 5" xfId="996"/>
    <cellStyle name="Обычный 3 5 5 2" xfId="997"/>
    <cellStyle name="Обычный 3 5 5 2 2" xfId="998"/>
    <cellStyle name="Обычный 3 5 5 2 2 2" xfId="4141"/>
    <cellStyle name="Обычный 3 5 5 2 2 2 2" xfId="6830"/>
    <cellStyle name="Обычный 3 5 5 2 2 3" xfId="4142"/>
    <cellStyle name="Обычный 3 5 5 2 3" xfId="4143"/>
    <cellStyle name="Обычный 3 5 5 2 3 2" xfId="6831"/>
    <cellStyle name="Обычный 3 5 5 2 4" xfId="4144"/>
    <cellStyle name="Обычный 3 5 5 3" xfId="999"/>
    <cellStyle name="Обычный 3 5 5 3 2" xfId="4145"/>
    <cellStyle name="Обычный 3 5 5 3 2 2" xfId="6832"/>
    <cellStyle name="Обычный 3 5 5 3 3" xfId="4146"/>
    <cellStyle name="Обычный 3 5 5 4" xfId="1000"/>
    <cellStyle name="Обычный 3 5 5 4 2" xfId="4147"/>
    <cellStyle name="Обычный 3 5 5 4 2 2" xfId="6833"/>
    <cellStyle name="Обычный 3 5 5 4 3" xfId="4148"/>
    <cellStyle name="Обычный 3 5 5 5" xfId="1001"/>
    <cellStyle name="Обычный 3 5 5 5 2" xfId="4149"/>
    <cellStyle name="Обычный 3 5 5 5 2 2" xfId="6834"/>
    <cellStyle name="Обычный 3 5 5 5 3" xfId="4150"/>
    <cellStyle name="Обычный 3 5 5 6" xfId="2213"/>
    <cellStyle name="Обычный 3 5 5 6 2" xfId="4151"/>
    <cellStyle name="Обычный 3 5 5 7" xfId="4152"/>
    <cellStyle name="Обычный 3 5 5 8" xfId="6835"/>
    <cellStyle name="Обычный 3 5 6" xfId="1002"/>
    <cellStyle name="Обычный 3 5 6 2" xfId="1003"/>
    <cellStyle name="Обычный 3 5 6 2 2" xfId="4153"/>
    <cellStyle name="Обычный 3 5 6 2 2 2" xfId="6836"/>
    <cellStyle name="Обычный 3 5 6 2 3" xfId="4154"/>
    <cellStyle name="Обычный 3 5 6 3" xfId="4155"/>
    <cellStyle name="Обычный 3 5 6 3 2" xfId="6837"/>
    <cellStyle name="Обычный 3 5 6 4" xfId="4156"/>
    <cellStyle name="Обычный 3 5 7" xfId="1004"/>
    <cellStyle name="Обычный 3 5 7 2" xfId="4157"/>
    <cellStyle name="Обычный 3 5 7 2 2" xfId="6838"/>
    <cellStyle name="Обычный 3 5 7 3" xfId="4158"/>
    <cellStyle name="Обычный 3 5 8" xfId="1005"/>
    <cellStyle name="Обычный 3 5 8 2" xfId="4159"/>
    <cellStyle name="Обычный 3 5 8 2 2" xfId="6839"/>
    <cellStyle name="Обычный 3 5 8 3" xfId="4160"/>
    <cellStyle name="Обычный 3 5 9" xfId="1006"/>
    <cellStyle name="Обычный 3 5 9 2" xfId="4161"/>
    <cellStyle name="Обычный 3 5 9 2 2" xfId="6840"/>
    <cellStyle name="Обычный 3 5 9 3" xfId="4162"/>
    <cellStyle name="Обычный 3 5_Расчет скв 3П Яснополянской  БУ румынский  без ВСП от 09082019" xfId="2013"/>
    <cellStyle name="Обычный 3 6" xfId="1007"/>
    <cellStyle name="Обычный 3 6 2" xfId="1008"/>
    <cellStyle name="Обычный 3 6 2 2" xfId="1009"/>
    <cellStyle name="Обычный 3 6 2 2 2" xfId="1010"/>
    <cellStyle name="Обычный 3 6 2 2 2 2" xfId="4163"/>
    <cellStyle name="Обычный 3 6 2 2 2 2 2" xfId="6841"/>
    <cellStyle name="Обычный 3 6 2 2 2 3" xfId="4164"/>
    <cellStyle name="Обычный 3 6 2 2 3" xfId="4165"/>
    <cellStyle name="Обычный 3 6 2 2 3 2" xfId="6842"/>
    <cellStyle name="Обычный 3 6 2 2 4" xfId="4166"/>
    <cellStyle name="Обычный 3 6 2 3" xfId="1011"/>
    <cellStyle name="Обычный 3 6 2 3 2" xfId="4167"/>
    <cellStyle name="Обычный 3 6 2 3 2 2" xfId="6843"/>
    <cellStyle name="Обычный 3 6 2 3 3" xfId="4168"/>
    <cellStyle name="Обычный 3 6 2 4" xfId="1012"/>
    <cellStyle name="Обычный 3 6 2 4 2" xfId="4169"/>
    <cellStyle name="Обычный 3 6 2 4 2 2" xfId="6844"/>
    <cellStyle name="Обычный 3 6 2 4 3" xfId="4170"/>
    <cellStyle name="Обычный 3 6 2 5" xfId="1013"/>
    <cellStyle name="Обычный 3 6 2 5 2" xfId="4171"/>
    <cellStyle name="Обычный 3 6 2 5 2 2" xfId="6845"/>
    <cellStyle name="Обычный 3 6 2 5 3" xfId="4172"/>
    <cellStyle name="Обычный 3 6 2 6" xfId="2214"/>
    <cellStyle name="Обычный 3 6 2 6 2" xfId="4173"/>
    <cellStyle name="Обычный 3 6 2 7" xfId="4174"/>
    <cellStyle name="Обычный 3 6 2 8" xfId="6846"/>
    <cellStyle name="Обычный 3 6 3" xfId="1014"/>
    <cellStyle name="Обычный 3 6 3 2" xfId="1015"/>
    <cellStyle name="Обычный 3 6 3 2 2" xfId="4175"/>
    <cellStyle name="Обычный 3 6 3 2 2 2" xfId="6847"/>
    <cellStyle name="Обычный 3 6 3 2 3" xfId="4176"/>
    <cellStyle name="Обычный 3 6 3 3" xfId="4177"/>
    <cellStyle name="Обычный 3 6 3 3 2" xfId="6848"/>
    <cellStyle name="Обычный 3 6 3 4" xfId="4178"/>
    <cellStyle name="Обычный 3 6 4" xfId="1016"/>
    <cellStyle name="Обычный 3 6 4 2" xfId="4179"/>
    <cellStyle name="Обычный 3 6 4 2 2" xfId="6849"/>
    <cellStyle name="Обычный 3 6 4 3" xfId="4180"/>
    <cellStyle name="Обычный 3 6 5" xfId="1017"/>
    <cellStyle name="Обычный 3 6 5 2" xfId="4181"/>
    <cellStyle name="Обычный 3 6 5 2 2" xfId="6850"/>
    <cellStyle name="Обычный 3 6 5 3" xfId="4182"/>
    <cellStyle name="Обычный 3 6 6" xfId="1018"/>
    <cellStyle name="Обычный 3 6 6 2" xfId="4183"/>
    <cellStyle name="Обычный 3 6 6 2 2" xfId="6851"/>
    <cellStyle name="Обычный 3 6 6 3" xfId="4184"/>
    <cellStyle name="Обычный 3 6 7" xfId="2215"/>
    <cellStyle name="Обычный 3 6 7 2" xfId="4185"/>
    <cellStyle name="Обычный 3 6 8" xfId="4186"/>
    <cellStyle name="Обычный 3 6 9" xfId="6852"/>
    <cellStyle name="Обычный 3 6_Расчет скв 3П Яснополянской  БУ румынский  без ВСП от 09082019" xfId="2014"/>
    <cellStyle name="Обычный 3 7" xfId="1019"/>
    <cellStyle name="Обычный 3 7 2" xfId="1020"/>
    <cellStyle name="Обычный 3 7 2 2" xfId="1021"/>
    <cellStyle name="Обычный 3 7 2 2 2" xfId="4187"/>
    <cellStyle name="Обычный 3 7 2 2 2 2" xfId="6853"/>
    <cellStyle name="Обычный 3 7 2 2 3" xfId="4188"/>
    <cellStyle name="Обычный 3 7 2 3" xfId="4189"/>
    <cellStyle name="Обычный 3 7 2 3 2" xfId="6854"/>
    <cellStyle name="Обычный 3 7 2 4" xfId="4190"/>
    <cellStyle name="Обычный 3 7 3" xfId="1022"/>
    <cellStyle name="Обычный 3 7 3 2" xfId="4191"/>
    <cellStyle name="Обычный 3 7 3 2 2" xfId="6855"/>
    <cellStyle name="Обычный 3 7 3 3" xfId="4192"/>
    <cellStyle name="Обычный 3 7 4" xfId="1023"/>
    <cellStyle name="Обычный 3 7 4 2" xfId="4193"/>
    <cellStyle name="Обычный 3 7 4 2 2" xfId="6856"/>
    <cellStyle name="Обычный 3 7 4 3" xfId="4194"/>
    <cellStyle name="Обычный 3 7 5" xfId="1024"/>
    <cellStyle name="Обычный 3 7 5 2" xfId="4195"/>
    <cellStyle name="Обычный 3 7 5 2 2" xfId="6857"/>
    <cellStyle name="Обычный 3 7 5 3" xfId="4196"/>
    <cellStyle name="Обычный 3 7 6" xfId="2216"/>
    <cellStyle name="Обычный 3 7 6 2" xfId="4197"/>
    <cellStyle name="Обычный 3 7 7" xfId="4198"/>
    <cellStyle name="Обычный 3 7 8" xfId="6858"/>
    <cellStyle name="Обычный 3 8" xfId="1025"/>
    <cellStyle name="Обычный 3 8 2" xfId="1026"/>
    <cellStyle name="Обычный 3 8 2 2" xfId="1027"/>
    <cellStyle name="Обычный 3 8 2 2 2" xfId="4199"/>
    <cellStyle name="Обычный 3 8 2 2 2 2" xfId="6859"/>
    <cellStyle name="Обычный 3 8 2 2 3" xfId="4200"/>
    <cellStyle name="Обычный 3 8 2 3" xfId="4201"/>
    <cellStyle name="Обычный 3 8 2 3 2" xfId="6860"/>
    <cellStyle name="Обычный 3 8 2 4" xfId="4202"/>
    <cellStyle name="Обычный 3 8 3" xfId="1028"/>
    <cellStyle name="Обычный 3 8 3 2" xfId="4203"/>
    <cellStyle name="Обычный 3 8 3 2 2" xfId="6861"/>
    <cellStyle name="Обычный 3 8 3 3" xfId="4204"/>
    <cellStyle name="Обычный 3 8 4" xfId="1029"/>
    <cellStyle name="Обычный 3 8 4 2" xfId="4205"/>
    <cellStyle name="Обычный 3 8 4 2 2" xfId="6862"/>
    <cellStyle name="Обычный 3 8 4 3" xfId="4206"/>
    <cellStyle name="Обычный 3 8 5" xfId="1030"/>
    <cellStyle name="Обычный 3 8 5 2" xfId="4207"/>
    <cellStyle name="Обычный 3 8 5 2 2" xfId="6863"/>
    <cellStyle name="Обычный 3 8 5 3" xfId="4208"/>
    <cellStyle name="Обычный 3 8 6" xfId="2217"/>
    <cellStyle name="Обычный 3 8 6 2" xfId="4209"/>
    <cellStyle name="Обычный 3 8 7" xfId="4210"/>
    <cellStyle name="Обычный 3 8 8" xfId="6864"/>
    <cellStyle name="Обычный 3 9" xfId="1031"/>
    <cellStyle name="Обычный 3 9 2" xfId="1032"/>
    <cellStyle name="Обычный 3 9 2 2" xfId="1033"/>
    <cellStyle name="Обычный 3 9 2 2 2" xfId="4211"/>
    <cellStyle name="Обычный 3 9 2 2 2 2" xfId="6865"/>
    <cellStyle name="Обычный 3 9 2 2 3" xfId="4212"/>
    <cellStyle name="Обычный 3 9 2 3" xfId="4213"/>
    <cellStyle name="Обычный 3 9 2 3 2" xfId="6866"/>
    <cellStyle name="Обычный 3 9 2 4" xfId="4214"/>
    <cellStyle name="Обычный 3 9 3" xfId="1034"/>
    <cellStyle name="Обычный 3 9 3 2" xfId="4215"/>
    <cellStyle name="Обычный 3 9 3 2 2" xfId="6867"/>
    <cellStyle name="Обычный 3 9 3 3" xfId="4216"/>
    <cellStyle name="Обычный 3 9 4" xfId="1035"/>
    <cellStyle name="Обычный 3 9 4 2" xfId="4217"/>
    <cellStyle name="Обычный 3 9 4 2 2" xfId="6868"/>
    <cellStyle name="Обычный 3 9 4 3" xfId="4218"/>
    <cellStyle name="Обычный 3 9 5" xfId="1036"/>
    <cellStyle name="Обычный 3 9 5 2" xfId="4219"/>
    <cellStyle name="Обычный 3 9 5 2 2" xfId="6869"/>
    <cellStyle name="Обычный 3 9 5 3" xfId="4220"/>
    <cellStyle name="Обычный 3 9 6" xfId="2218"/>
    <cellStyle name="Обычный 3 9 6 2" xfId="4221"/>
    <cellStyle name="Обычный 3 9 7" xfId="4222"/>
    <cellStyle name="Обычный 3 9 8" xfId="6870"/>
    <cellStyle name="Обычный 3_№ 2.1.Монтаж" xfId="1037"/>
    <cellStyle name="Обычный 4" xfId="1038"/>
    <cellStyle name="Обычный 4 10" xfId="5970"/>
    <cellStyle name="Обычный 4 17" xfId="4223"/>
    <cellStyle name="Обычный 4 2" xfId="1039"/>
    <cellStyle name="Обычный 4 2 10" xfId="2219"/>
    <cellStyle name="Обычный 4 2 10 2" xfId="4224"/>
    <cellStyle name="Обычный 4 2 11" xfId="4225"/>
    <cellStyle name="Обычный 4 2 12" xfId="6871"/>
    <cellStyle name="Обычный 4 2 2" xfId="1040"/>
    <cellStyle name="Обычный 4 2 2 2" xfId="1041"/>
    <cellStyle name="Обычный 4 2 2 2 2" xfId="1042"/>
    <cellStyle name="Обычный 4 2 2 2 2 2" xfId="1043"/>
    <cellStyle name="Обычный 4 2 2 2 2 2 2" xfId="4226"/>
    <cellStyle name="Обычный 4 2 2 2 2 2 2 2" xfId="6872"/>
    <cellStyle name="Обычный 4 2 2 2 2 2 3" xfId="4227"/>
    <cellStyle name="Обычный 4 2 2 2 2 3" xfId="4228"/>
    <cellStyle name="Обычный 4 2 2 2 2 3 2" xfId="6873"/>
    <cellStyle name="Обычный 4 2 2 2 2 4" xfId="4229"/>
    <cellStyle name="Обычный 4 2 2 2 3" xfId="1044"/>
    <cellStyle name="Обычный 4 2 2 2 3 2" xfId="4230"/>
    <cellStyle name="Обычный 4 2 2 2 3 2 2" xfId="6874"/>
    <cellStyle name="Обычный 4 2 2 2 3 3" xfId="4231"/>
    <cellStyle name="Обычный 4 2 2 2 4" xfId="1045"/>
    <cellStyle name="Обычный 4 2 2 2 4 2" xfId="4232"/>
    <cellStyle name="Обычный 4 2 2 2 4 2 2" xfId="6875"/>
    <cellStyle name="Обычный 4 2 2 2 4 3" xfId="4233"/>
    <cellStyle name="Обычный 4 2 2 2 5" xfId="1046"/>
    <cellStyle name="Обычный 4 2 2 2 5 2" xfId="4234"/>
    <cellStyle name="Обычный 4 2 2 2 5 2 2" xfId="6876"/>
    <cellStyle name="Обычный 4 2 2 2 5 3" xfId="4235"/>
    <cellStyle name="Обычный 4 2 2 2 6" xfId="2220"/>
    <cellStyle name="Обычный 4 2 2 2 6 2" xfId="4236"/>
    <cellStyle name="Обычный 4 2 2 2 7" xfId="4237"/>
    <cellStyle name="Обычный 4 2 2 2 8" xfId="6877"/>
    <cellStyle name="Обычный 4 2 2 3" xfId="1047"/>
    <cellStyle name="Обычный 4 2 2 3 2" xfId="1048"/>
    <cellStyle name="Обычный 4 2 2 3 2 2" xfId="4238"/>
    <cellStyle name="Обычный 4 2 2 3 2 2 2" xfId="6878"/>
    <cellStyle name="Обычный 4 2 2 3 2 3" xfId="4239"/>
    <cellStyle name="Обычный 4 2 2 3 3" xfId="4240"/>
    <cellStyle name="Обычный 4 2 2 3 3 2" xfId="6879"/>
    <cellStyle name="Обычный 4 2 2 3 4" xfId="4241"/>
    <cellStyle name="Обычный 4 2 2 4" xfId="1049"/>
    <cellStyle name="Обычный 4 2 2 4 2" xfId="4242"/>
    <cellStyle name="Обычный 4 2 2 4 2 2" xfId="6880"/>
    <cellStyle name="Обычный 4 2 2 4 3" xfId="4243"/>
    <cellStyle name="Обычный 4 2 2 5" xfId="1050"/>
    <cellStyle name="Обычный 4 2 2 5 2" xfId="4244"/>
    <cellStyle name="Обычный 4 2 2 5 2 2" xfId="6881"/>
    <cellStyle name="Обычный 4 2 2 5 3" xfId="4245"/>
    <cellStyle name="Обычный 4 2 2 6" xfId="1051"/>
    <cellStyle name="Обычный 4 2 2 6 2" xfId="4246"/>
    <cellStyle name="Обычный 4 2 2 6 2 2" xfId="6882"/>
    <cellStyle name="Обычный 4 2 2 6 3" xfId="4247"/>
    <cellStyle name="Обычный 4 2 2 7" xfId="2221"/>
    <cellStyle name="Обычный 4 2 2 7 2" xfId="4248"/>
    <cellStyle name="Обычный 4 2 2 8" xfId="4249"/>
    <cellStyle name="Обычный 4 2 2 9" xfId="6883"/>
    <cellStyle name="Обычный 4 2 2_Расчет скв 3П Яснополянской  БУ румынский  без ВСП от 09082019" xfId="2015"/>
    <cellStyle name="Обычный 4 2 3" xfId="1052"/>
    <cellStyle name="Обычный 4 2 3 2" xfId="1053"/>
    <cellStyle name="Обычный 4 2 3 2 2" xfId="1054"/>
    <cellStyle name="Обычный 4 2 3 2 2 2" xfId="4250"/>
    <cellStyle name="Обычный 4 2 3 2 2 2 2" xfId="6884"/>
    <cellStyle name="Обычный 4 2 3 2 2 3" xfId="4251"/>
    <cellStyle name="Обычный 4 2 3 2 3" xfId="4252"/>
    <cellStyle name="Обычный 4 2 3 2 3 2" xfId="6885"/>
    <cellStyle name="Обычный 4 2 3 2 4" xfId="4253"/>
    <cellStyle name="Обычный 4 2 3 3" xfId="1055"/>
    <cellStyle name="Обычный 4 2 3 3 2" xfId="4254"/>
    <cellStyle name="Обычный 4 2 3 3 2 2" xfId="6886"/>
    <cellStyle name="Обычный 4 2 3 3 3" xfId="4255"/>
    <cellStyle name="Обычный 4 2 3 4" xfId="1056"/>
    <cellStyle name="Обычный 4 2 3 4 2" xfId="4256"/>
    <cellStyle name="Обычный 4 2 3 4 2 2" xfId="6887"/>
    <cellStyle name="Обычный 4 2 3 4 3" xfId="4257"/>
    <cellStyle name="Обычный 4 2 3 5" xfId="1057"/>
    <cellStyle name="Обычный 4 2 3 5 2" xfId="4258"/>
    <cellStyle name="Обычный 4 2 3 5 2 2" xfId="6888"/>
    <cellStyle name="Обычный 4 2 3 5 3" xfId="4259"/>
    <cellStyle name="Обычный 4 2 3 6" xfId="2222"/>
    <cellStyle name="Обычный 4 2 3 6 2" xfId="4260"/>
    <cellStyle name="Обычный 4 2 3 7" xfId="4261"/>
    <cellStyle name="Обычный 4 2 3 8" xfId="6889"/>
    <cellStyle name="Обычный 4 2 4" xfId="1058"/>
    <cellStyle name="Обычный 4 2 4 2" xfId="1059"/>
    <cellStyle name="Обычный 4 2 4 2 2" xfId="1060"/>
    <cellStyle name="Обычный 4 2 4 2 2 2" xfId="4262"/>
    <cellStyle name="Обычный 4 2 4 2 2 2 2" xfId="6890"/>
    <cellStyle name="Обычный 4 2 4 2 2 3" xfId="4263"/>
    <cellStyle name="Обычный 4 2 4 2 3" xfId="4264"/>
    <cellStyle name="Обычный 4 2 4 2 3 2" xfId="6891"/>
    <cellStyle name="Обычный 4 2 4 2 4" xfId="4265"/>
    <cellStyle name="Обычный 4 2 4 3" xfId="1061"/>
    <cellStyle name="Обычный 4 2 4 3 2" xfId="4266"/>
    <cellStyle name="Обычный 4 2 4 3 2 2" xfId="6892"/>
    <cellStyle name="Обычный 4 2 4 3 3" xfId="4267"/>
    <cellStyle name="Обычный 4 2 4 4" xfId="1062"/>
    <cellStyle name="Обычный 4 2 4 4 2" xfId="4268"/>
    <cellStyle name="Обычный 4 2 4 4 2 2" xfId="6893"/>
    <cellStyle name="Обычный 4 2 4 4 3" xfId="4269"/>
    <cellStyle name="Обычный 4 2 4 5" xfId="1063"/>
    <cellStyle name="Обычный 4 2 4 5 2" xfId="4270"/>
    <cellStyle name="Обычный 4 2 4 5 2 2" xfId="6894"/>
    <cellStyle name="Обычный 4 2 4 5 3" xfId="4271"/>
    <cellStyle name="Обычный 4 2 4 6" xfId="2223"/>
    <cellStyle name="Обычный 4 2 4 6 2" xfId="4272"/>
    <cellStyle name="Обычный 4 2 4 7" xfId="4273"/>
    <cellStyle name="Обычный 4 2 4 8" xfId="6895"/>
    <cellStyle name="Обычный 4 2 5" xfId="1064"/>
    <cellStyle name="Обычный 4 2 5 2" xfId="1065"/>
    <cellStyle name="Обычный 4 2 5 2 2" xfId="1066"/>
    <cellStyle name="Обычный 4 2 5 2 2 2" xfId="4274"/>
    <cellStyle name="Обычный 4 2 5 2 2 2 2" xfId="6896"/>
    <cellStyle name="Обычный 4 2 5 2 2 3" xfId="4275"/>
    <cellStyle name="Обычный 4 2 5 2 3" xfId="4276"/>
    <cellStyle name="Обычный 4 2 5 2 3 2" xfId="6897"/>
    <cellStyle name="Обычный 4 2 5 2 4" xfId="4277"/>
    <cellStyle name="Обычный 4 2 5 3" xfId="1067"/>
    <cellStyle name="Обычный 4 2 5 3 2" xfId="4278"/>
    <cellStyle name="Обычный 4 2 5 3 2 2" xfId="6898"/>
    <cellStyle name="Обычный 4 2 5 3 3" xfId="4279"/>
    <cellStyle name="Обычный 4 2 5 4" xfId="1068"/>
    <cellStyle name="Обычный 4 2 5 4 2" xfId="4280"/>
    <cellStyle name="Обычный 4 2 5 4 2 2" xfId="6899"/>
    <cellStyle name="Обычный 4 2 5 4 3" xfId="4281"/>
    <cellStyle name="Обычный 4 2 5 5" xfId="1069"/>
    <cellStyle name="Обычный 4 2 5 5 2" xfId="4282"/>
    <cellStyle name="Обычный 4 2 5 5 2 2" xfId="6900"/>
    <cellStyle name="Обычный 4 2 5 5 3" xfId="4283"/>
    <cellStyle name="Обычный 4 2 5 6" xfId="2224"/>
    <cellStyle name="Обычный 4 2 5 6 2" xfId="4284"/>
    <cellStyle name="Обычный 4 2 5 7" xfId="4285"/>
    <cellStyle name="Обычный 4 2 5 8" xfId="6901"/>
    <cellStyle name="Обычный 4 2 6" xfId="1070"/>
    <cellStyle name="Обычный 4 2 6 2" xfId="1071"/>
    <cellStyle name="Обычный 4 2 6 2 2" xfId="4286"/>
    <cellStyle name="Обычный 4 2 6 2 2 2" xfId="6902"/>
    <cellStyle name="Обычный 4 2 6 2 3" xfId="4287"/>
    <cellStyle name="Обычный 4 2 6 3" xfId="4288"/>
    <cellStyle name="Обычный 4 2 6 3 2" xfId="6903"/>
    <cellStyle name="Обычный 4 2 6 4" xfId="4289"/>
    <cellStyle name="Обычный 4 2 7" xfId="1072"/>
    <cellStyle name="Обычный 4 2 7 2" xfId="4290"/>
    <cellStyle name="Обычный 4 2 7 2 2" xfId="6904"/>
    <cellStyle name="Обычный 4 2 7 3" xfId="4291"/>
    <cellStyle name="Обычный 4 2 8" xfId="1073"/>
    <cellStyle name="Обычный 4 2 8 2" xfId="4292"/>
    <cellStyle name="Обычный 4 2 8 2 2" xfId="6905"/>
    <cellStyle name="Обычный 4 2 8 3" xfId="4293"/>
    <cellStyle name="Обычный 4 2 9" xfId="1074"/>
    <cellStyle name="Обычный 4 2 9 2" xfId="4294"/>
    <cellStyle name="Обычный 4 2 9 2 2" xfId="6906"/>
    <cellStyle name="Обычный 4 2 9 3" xfId="4295"/>
    <cellStyle name="Обычный 4 3" xfId="1075"/>
    <cellStyle name="Обычный 4 3 10" xfId="2225"/>
    <cellStyle name="Обычный 4 3 10 2" xfId="4296"/>
    <cellStyle name="Обычный 4 3 11" xfId="4297"/>
    <cellStyle name="Обычный 4 3 12" xfId="6907"/>
    <cellStyle name="Обычный 4 3 2" xfId="1076"/>
    <cellStyle name="Обычный 4 3 2 2" xfId="1077"/>
    <cellStyle name="Обычный 4 3 2 2 2" xfId="1078"/>
    <cellStyle name="Обычный 4 3 2 2 2 2" xfId="1079"/>
    <cellStyle name="Обычный 4 3 2 2 2 2 2" xfId="4298"/>
    <cellStyle name="Обычный 4 3 2 2 2 2 2 2" xfId="6908"/>
    <cellStyle name="Обычный 4 3 2 2 2 2 3" xfId="4299"/>
    <cellStyle name="Обычный 4 3 2 2 2 3" xfId="4300"/>
    <cellStyle name="Обычный 4 3 2 2 2 3 2" xfId="6909"/>
    <cellStyle name="Обычный 4 3 2 2 2 4" xfId="4301"/>
    <cellStyle name="Обычный 4 3 2 2 3" xfId="1080"/>
    <cellStyle name="Обычный 4 3 2 2 3 2" xfId="4302"/>
    <cellStyle name="Обычный 4 3 2 2 3 2 2" xfId="6910"/>
    <cellStyle name="Обычный 4 3 2 2 3 3" xfId="4303"/>
    <cellStyle name="Обычный 4 3 2 2 4" xfId="1081"/>
    <cellStyle name="Обычный 4 3 2 2 4 2" xfId="4304"/>
    <cellStyle name="Обычный 4 3 2 2 4 2 2" xfId="6911"/>
    <cellStyle name="Обычный 4 3 2 2 4 3" xfId="4305"/>
    <cellStyle name="Обычный 4 3 2 2 5" xfId="1082"/>
    <cellStyle name="Обычный 4 3 2 2 5 2" xfId="4306"/>
    <cellStyle name="Обычный 4 3 2 2 5 2 2" xfId="6912"/>
    <cellStyle name="Обычный 4 3 2 2 5 3" xfId="4307"/>
    <cellStyle name="Обычный 4 3 2 2 6" xfId="2226"/>
    <cellStyle name="Обычный 4 3 2 2 6 2" xfId="4308"/>
    <cellStyle name="Обычный 4 3 2 2 7" xfId="4309"/>
    <cellStyle name="Обычный 4 3 2 2 8" xfId="6913"/>
    <cellStyle name="Обычный 4 3 2 3" xfId="1083"/>
    <cellStyle name="Обычный 4 3 2 3 2" xfId="1084"/>
    <cellStyle name="Обычный 4 3 2 3 2 2" xfId="4310"/>
    <cellStyle name="Обычный 4 3 2 3 2 2 2" xfId="6914"/>
    <cellStyle name="Обычный 4 3 2 3 2 3" xfId="4311"/>
    <cellStyle name="Обычный 4 3 2 3 3" xfId="4312"/>
    <cellStyle name="Обычный 4 3 2 3 3 2" xfId="6915"/>
    <cellStyle name="Обычный 4 3 2 3 4" xfId="4313"/>
    <cellStyle name="Обычный 4 3 2 4" xfId="1085"/>
    <cellStyle name="Обычный 4 3 2 4 2" xfId="4314"/>
    <cellStyle name="Обычный 4 3 2 4 2 2" xfId="6916"/>
    <cellStyle name="Обычный 4 3 2 4 3" xfId="4315"/>
    <cellStyle name="Обычный 4 3 2 5" xfId="1086"/>
    <cellStyle name="Обычный 4 3 2 5 2" xfId="4316"/>
    <cellStyle name="Обычный 4 3 2 5 2 2" xfId="6917"/>
    <cellStyle name="Обычный 4 3 2 5 3" xfId="4317"/>
    <cellStyle name="Обычный 4 3 2 6" xfId="1087"/>
    <cellStyle name="Обычный 4 3 2 6 2" xfId="4318"/>
    <cellStyle name="Обычный 4 3 2 6 2 2" xfId="6918"/>
    <cellStyle name="Обычный 4 3 2 6 3" xfId="4319"/>
    <cellStyle name="Обычный 4 3 2 7" xfId="2227"/>
    <cellStyle name="Обычный 4 3 2 7 2" xfId="4320"/>
    <cellStyle name="Обычный 4 3 2 8" xfId="4321"/>
    <cellStyle name="Обычный 4 3 2 9" xfId="6919"/>
    <cellStyle name="Обычный 4 3 2_Расчет скв 3П Яснополянской  БУ румынский  без ВСП от 09082019" xfId="2016"/>
    <cellStyle name="Обычный 4 3 3" xfId="1088"/>
    <cellStyle name="Обычный 4 3 3 2" xfId="1089"/>
    <cellStyle name="Обычный 4 3 3 2 2" xfId="1090"/>
    <cellStyle name="Обычный 4 3 3 2 2 2" xfId="4322"/>
    <cellStyle name="Обычный 4 3 3 2 2 2 2" xfId="6920"/>
    <cellStyle name="Обычный 4 3 3 2 2 3" xfId="4323"/>
    <cellStyle name="Обычный 4 3 3 2 3" xfId="4324"/>
    <cellStyle name="Обычный 4 3 3 2 3 2" xfId="6921"/>
    <cellStyle name="Обычный 4 3 3 2 4" xfId="4325"/>
    <cellStyle name="Обычный 4 3 3 3" xfId="1091"/>
    <cellStyle name="Обычный 4 3 3 3 2" xfId="4326"/>
    <cellStyle name="Обычный 4 3 3 3 2 2" xfId="6922"/>
    <cellStyle name="Обычный 4 3 3 3 3" xfId="4327"/>
    <cellStyle name="Обычный 4 3 3 4" xfId="1092"/>
    <cellStyle name="Обычный 4 3 3 4 2" xfId="4328"/>
    <cellStyle name="Обычный 4 3 3 4 2 2" xfId="6923"/>
    <cellStyle name="Обычный 4 3 3 4 3" xfId="4329"/>
    <cellStyle name="Обычный 4 3 3 5" xfId="1093"/>
    <cellStyle name="Обычный 4 3 3 5 2" xfId="4330"/>
    <cellStyle name="Обычный 4 3 3 5 2 2" xfId="6924"/>
    <cellStyle name="Обычный 4 3 3 5 3" xfId="4331"/>
    <cellStyle name="Обычный 4 3 3 6" xfId="2228"/>
    <cellStyle name="Обычный 4 3 3 6 2" xfId="4332"/>
    <cellStyle name="Обычный 4 3 3 7" xfId="4333"/>
    <cellStyle name="Обычный 4 3 3 8" xfId="6925"/>
    <cellStyle name="Обычный 4 3 4" xfId="1094"/>
    <cellStyle name="Обычный 4 3 4 2" xfId="1095"/>
    <cellStyle name="Обычный 4 3 4 2 2" xfId="1096"/>
    <cellStyle name="Обычный 4 3 4 2 2 2" xfId="4334"/>
    <cellStyle name="Обычный 4 3 4 2 2 2 2" xfId="6926"/>
    <cellStyle name="Обычный 4 3 4 2 2 3" xfId="4335"/>
    <cellStyle name="Обычный 4 3 4 2 3" xfId="4336"/>
    <cellStyle name="Обычный 4 3 4 2 3 2" xfId="6927"/>
    <cellStyle name="Обычный 4 3 4 2 4" xfId="4337"/>
    <cellStyle name="Обычный 4 3 4 3" xfId="1097"/>
    <cellStyle name="Обычный 4 3 4 3 2" xfId="4338"/>
    <cellStyle name="Обычный 4 3 4 3 2 2" xfId="6928"/>
    <cellStyle name="Обычный 4 3 4 3 3" xfId="4339"/>
    <cellStyle name="Обычный 4 3 4 4" xfId="1098"/>
    <cellStyle name="Обычный 4 3 4 4 2" xfId="4340"/>
    <cellStyle name="Обычный 4 3 4 4 2 2" xfId="6929"/>
    <cellStyle name="Обычный 4 3 4 4 3" xfId="4341"/>
    <cellStyle name="Обычный 4 3 4 5" xfId="1099"/>
    <cellStyle name="Обычный 4 3 4 5 2" xfId="4342"/>
    <cellStyle name="Обычный 4 3 4 5 2 2" xfId="6930"/>
    <cellStyle name="Обычный 4 3 4 5 3" xfId="4343"/>
    <cellStyle name="Обычный 4 3 4 6" xfId="2229"/>
    <cellStyle name="Обычный 4 3 4 6 2" xfId="4344"/>
    <cellStyle name="Обычный 4 3 4 7" xfId="4345"/>
    <cellStyle name="Обычный 4 3 4 8" xfId="6931"/>
    <cellStyle name="Обычный 4 3 5" xfId="1100"/>
    <cellStyle name="Обычный 4 3 5 2" xfId="1101"/>
    <cellStyle name="Обычный 4 3 5 2 2" xfId="1102"/>
    <cellStyle name="Обычный 4 3 5 2 2 2" xfId="4346"/>
    <cellStyle name="Обычный 4 3 5 2 2 2 2" xfId="6932"/>
    <cellStyle name="Обычный 4 3 5 2 2 3" xfId="4347"/>
    <cellStyle name="Обычный 4 3 5 2 3" xfId="4348"/>
    <cellStyle name="Обычный 4 3 5 2 3 2" xfId="6933"/>
    <cellStyle name="Обычный 4 3 5 2 4" xfId="4349"/>
    <cellStyle name="Обычный 4 3 5 3" xfId="1103"/>
    <cellStyle name="Обычный 4 3 5 3 2" xfId="4350"/>
    <cellStyle name="Обычный 4 3 5 3 2 2" xfId="6934"/>
    <cellStyle name="Обычный 4 3 5 3 3" xfId="4351"/>
    <cellStyle name="Обычный 4 3 5 4" xfId="1104"/>
    <cellStyle name="Обычный 4 3 5 4 2" xfId="4352"/>
    <cellStyle name="Обычный 4 3 5 4 2 2" xfId="6935"/>
    <cellStyle name="Обычный 4 3 5 4 3" xfId="4353"/>
    <cellStyle name="Обычный 4 3 5 5" xfId="1105"/>
    <cellStyle name="Обычный 4 3 5 5 2" xfId="4354"/>
    <cellStyle name="Обычный 4 3 5 5 2 2" xfId="6936"/>
    <cellStyle name="Обычный 4 3 5 5 3" xfId="4355"/>
    <cellStyle name="Обычный 4 3 5 6" xfId="2230"/>
    <cellStyle name="Обычный 4 3 5 6 2" xfId="4356"/>
    <cellStyle name="Обычный 4 3 5 7" xfId="4357"/>
    <cellStyle name="Обычный 4 3 5 8" xfId="6937"/>
    <cellStyle name="Обычный 4 3 6" xfId="1106"/>
    <cellStyle name="Обычный 4 3 6 2" xfId="1107"/>
    <cellStyle name="Обычный 4 3 6 2 2" xfId="4358"/>
    <cellStyle name="Обычный 4 3 6 2 2 2" xfId="6938"/>
    <cellStyle name="Обычный 4 3 6 2 3" xfId="4359"/>
    <cellStyle name="Обычный 4 3 6 3" xfId="4360"/>
    <cellStyle name="Обычный 4 3 6 3 2" xfId="6939"/>
    <cellStyle name="Обычный 4 3 6 4" xfId="4361"/>
    <cellStyle name="Обычный 4 3 7" xfId="1108"/>
    <cellStyle name="Обычный 4 3 7 2" xfId="4362"/>
    <cellStyle name="Обычный 4 3 7 2 2" xfId="6940"/>
    <cellStyle name="Обычный 4 3 7 3" xfId="4363"/>
    <cellStyle name="Обычный 4 3 8" xfId="1109"/>
    <cellStyle name="Обычный 4 3 8 2" xfId="4364"/>
    <cellStyle name="Обычный 4 3 8 2 2" xfId="6941"/>
    <cellStyle name="Обычный 4 3 8 3" xfId="4365"/>
    <cellStyle name="Обычный 4 3 9" xfId="1110"/>
    <cellStyle name="Обычный 4 3 9 2" xfId="4366"/>
    <cellStyle name="Обычный 4 3 9 2 2" xfId="6942"/>
    <cellStyle name="Обычный 4 3 9 3" xfId="4367"/>
    <cellStyle name="Обычный 4 3_Расчет скв 3П Яснополянской  БУ румынский  без ВСП от 09082019" xfId="2017"/>
    <cellStyle name="Обычный 4 4" xfId="1111"/>
    <cellStyle name="Обычный 4 4 10" xfId="2231"/>
    <cellStyle name="Обычный 4 4 10 2" xfId="4368"/>
    <cellStyle name="Обычный 4 4 11" xfId="4369"/>
    <cellStyle name="Обычный 4 4 12" xfId="6943"/>
    <cellStyle name="Обычный 4 4 2" xfId="1112"/>
    <cellStyle name="Обычный 4 4 2 2" xfId="1113"/>
    <cellStyle name="Обычный 4 4 2 2 2" xfId="1114"/>
    <cellStyle name="Обычный 4 4 2 2 2 2" xfId="1115"/>
    <cellStyle name="Обычный 4 4 2 2 2 2 2" xfId="4370"/>
    <cellStyle name="Обычный 4 4 2 2 2 2 2 2" xfId="6944"/>
    <cellStyle name="Обычный 4 4 2 2 2 2 3" xfId="4371"/>
    <cellStyle name="Обычный 4 4 2 2 2 3" xfId="4372"/>
    <cellStyle name="Обычный 4 4 2 2 2 3 2" xfId="6945"/>
    <cellStyle name="Обычный 4 4 2 2 2 4" xfId="4373"/>
    <cellStyle name="Обычный 4 4 2 2 3" xfId="1116"/>
    <cellStyle name="Обычный 4 4 2 2 3 2" xfId="4374"/>
    <cellStyle name="Обычный 4 4 2 2 3 2 2" xfId="6946"/>
    <cellStyle name="Обычный 4 4 2 2 3 3" xfId="4375"/>
    <cellStyle name="Обычный 4 4 2 2 4" xfId="1117"/>
    <cellStyle name="Обычный 4 4 2 2 4 2" xfId="4376"/>
    <cellStyle name="Обычный 4 4 2 2 4 2 2" xfId="6947"/>
    <cellStyle name="Обычный 4 4 2 2 4 3" xfId="4377"/>
    <cellStyle name="Обычный 4 4 2 2 5" xfId="1118"/>
    <cellStyle name="Обычный 4 4 2 2 5 2" xfId="4378"/>
    <cellStyle name="Обычный 4 4 2 2 5 2 2" xfId="6948"/>
    <cellStyle name="Обычный 4 4 2 2 5 3" xfId="4379"/>
    <cellStyle name="Обычный 4 4 2 2 6" xfId="2232"/>
    <cellStyle name="Обычный 4 4 2 2 6 2" xfId="4380"/>
    <cellStyle name="Обычный 4 4 2 2 7" xfId="4381"/>
    <cellStyle name="Обычный 4 4 2 2 8" xfId="6949"/>
    <cellStyle name="Обычный 4 4 2 3" xfId="1119"/>
    <cellStyle name="Обычный 4 4 2 3 2" xfId="1120"/>
    <cellStyle name="Обычный 4 4 2 3 2 2" xfId="4382"/>
    <cellStyle name="Обычный 4 4 2 3 2 2 2" xfId="6950"/>
    <cellStyle name="Обычный 4 4 2 3 2 3" xfId="4383"/>
    <cellStyle name="Обычный 4 4 2 3 3" xfId="4384"/>
    <cellStyle name="Обычный 4 4 2 3 3 2" xfId="6951"/>
    <cellStyle name="Обычный 4 4 2 3 4" xfId="4385"/>
    <cellStyle name="Обычный 4 4 2 4" xfId="1121"/>
    <cellStyle name="Обычный 4 4 2 4 2" xfId="4386"/>
    <cellStyle name="Обычный 4 4 2 4 2 2" xfId="6952"/>
    <cellStyle name="Обычный 4 4 2 4 3" xfId="4387"/>
    <cellStyle name="Обычный 4 4 2 5" xfId="1122"/>
    <cellStyle name="Обычный 4 4 2 5 2" xfId="4388"/>
    <cellStyle name="Обычный 4 4 2 5 2 2" xfId="6953"/>
    <cellStyle name="Обычный 4 4 2 5 3" xfId="4389"/>
    <cellStyle name="Обычный 4 4 2 6" xfId="1123"/>
    <cellStyle name="Обычный 4 4 2 6 2" xfId="4390"/>
    <cellStyle name="Обычный 4 4 2 6 2 2" xfId="6954"/>
    <cellStyle name="Обычный 4 4 2 6 3" xfId="4391"/>
    <cellStyle name="Обычный 4 4 2 7" xfId="2233"/>
    <cellStyle name="Обычный 4 4 2 7 2" xfId="4392"/>
    <cellStyle name="Обычный 4 4 2 8" xfId="4393"/>
    <cellStyle name="Обычный 4 4 2 9" xfId="6955"/>
    <cellStyle name="Обычный 4 4 2_Расчет скв 3П Яснополянской  БУ румынский  без ВСП от 09082019" xfId="2018"/>
    <cellStyle name="Обычный 4 4 3" xfId="1124"/>
    <cellStyle name="Обычный 4 4 3 2" xfId="1125"/>
    <cellStyle name="Обычный 4 4 3 2 2" xfId="1126"/>
    <cellStyle name="Обычный 4 4 3 2 2 2" xfId="4394"/>
    <cellStyle name="Обычный 4 4 3 2 2 2 2" xfId="6956"/>
    <cellStyle name="Обычный 4 4 3 2 2 3" xfId="4395"/>
    <cellStyle name="Обычный 4 4 3 2 3" xfId="4396"/>
    <cellStyle name="Обычный 4 4 3 2 3 2" xfId="6957"/>
    <cellStyle name="Обычный 4 4 3 2 4" xfId="4397"/>
    <cellStyle name="Обычный 4 4 3 3" xfId="1127"/>
    <cellStyle name="Обычный 4 4 3 3 2" xfId="4398"/>
    <cellStyle name="Обычный 4 4 3 3 2 2" xfId="6958"/>
    <cellStyle name="Обычный 4 4 3 3 3" xfId="4399"/>
    <cellStyle name="Обычный 4 4 3 4" xfId="1128"/>
    <cellStyle name="Обычный 4 4 3 4 2" xfId="4400"/>
    <cellStyle name="Обычный 4 4 3 4 2 2" xfId="6959"/>
    <cellStyle name="Обычный 4 4 3 4 3" xfId="4401"/>
    <cellStyle name="Обычный 4 4 3 5" xfId="1129"/>
    <cellStyle name="Обычный 4 4 3 5 2" xfId="4402"/>
    <cellStyle name="Обычный 4 4 3 5 2 2" xfId="6960"/>
    <cellStyle name="Обычный 4 4 3 5 3" xfId="4403"/>
    <cellStyle name="Обычный 4 4 3 6" xfId="2234"/>
    <cellStyle name="Обычный 4 4 3 6 2" xfId="4404"/>
    <cellStyle name="Обычный 4 4 3 7" xfId="4405"/>
    <cellStyle name="Обычный 4 4 3 8" xfId="6961"/>
    <cellStyle name="Обычный 4 4 4" xfId="1130"/>
    <cellStyle name="Обычный 4 4 4 2" xfId="1131"/>
    <cellStyle name="Обычный 4 4 4 2 2" xfId="1132"/>
    <cellStyle name="Обычный 4 4 4 2 2 2" xfId="4406"/>
    <cellStyle name="Обычный 4 4 4 2 2 2 2" xfId="6962"/>
    <cellStyle name="Обычный 4 4 4 2 2 3" xfId="4407"/>
    <cellStyle name="Обычный 4 4 4 2 3" xfId="4408"/>
    <cellStyle name="Обычный 4 4 4 2 3 2" xfId="6963"/>
    <cellStyle name="Обычный 4 4 4 2 4" xfId="4409"/>
    <cellStyle name="Обычный 4 4 4 3" xfId="1133"/>
    <cellStyle name="Обычный 4 4 4 3 2" xfId="4410"/>
    <cellStyle name="Обычный 4 4 4 3 2 2" xfId="6964"/>
    <cellStyle name="Обычный 4 4 4 3 3" xfId="4411"/>
    <cellStyle name="Обычный 4 4 4 4" xfId="1134"/>
    <cellStyle name="Обычный 4 4 4 4 2" xfId="4412"/>
    <cellStyle name="Обычный 4 4 4 4 2 2" xfId="6965"/>
    <cellStyle name="Обычный 4 4 4 4 3" xfId="4413"/>
    <cellStyle name="Обычный 4 4 4 5" xfId="1135"/>
    <cellStyle name="Обычный 4 4 4 5 2" xfId="4414"/>
    <cellStyle name="Обычный 4 4 4 5 2 2" xfId="6966"/>
    <cellStyle name="Обычный 4 4 4 5 3" xfId="4415"/>
    <cellStyle name="Обычный 4 4 4 6" xfId="2235"/>
    <cellStyle name="Обычный 4 4 4 6 2" xfId="4416"/>
    <cellStyle name="Обычный 4 4 4 7" xfId="4417"/>
    <cellStyle name="Обычный 4 4 4 8" xfId="6967"/>
    <cellStyle name="Обычный 4 4 5" xfId="1136"/>
    <cellStyle name="Обычный 4 4 5 2" xfId="1137"/>
    <cellStyle name="Обычный 4 4 5 2 2" xfId="1138"/>
    <cellStyle name="Обычный 4 4 5 2 2 2" xfId="4418"/>
    <cellStyle name="Обычный 4 4 5 2 2 2 2" xfId="6968"/>
    <cellStyle name="Обычный 4 4 5 2 2 3" xfId="4419"/>
    <cellStyle name="Обычный 4 4 5 2 3" xfId="4420"/>
    <cellStyle name="Обычный 4 4 5 2 3 2" xfId="6969"/>
    <cellStyle name="Обычный 4 4 5 2 4" xfId="4421"/>
    <cellStyle name="Обычный 4 4 5 3" xfId="1139"/>
    <cellStyle name="Обычный 4 4 5 3 2" xfId="4422"/>
    <cellStyle name="Обычный 4 4 5 3 2 2" xfId="6970"/>
    <cellStyle name="Обычный 4 4 5 3 3" xfId="4423"/>
    <cellStyle name="Обычный 4 4 5 4" xfId="1140"/>
    <cellStyle name="Обычный 4 4 5 4 2" xfId="4424"/>
    <cellStyle name="Обычный 4 4 5 4 2 2" xfId="6971"/>
    <cellStyle name="Обычный 4 4 5 4 3" xfId="4425"/>
    <cellStyle name="Обычный 4 4 5 5" xfId="1141"/>
    <cellStyle name="Обычный 4 4 5 5 2" xfId="4426"/>
    <cellStyle name="Обычный 4 4 5 5 2 2" xfId="6972"/>
    <cellStyle name="Обычный 4 4 5 5 3" xfId="4427"/>
    <cellStyle name="Обычный 4 4 5 6" xfId="2236"/>
    <cellStyle name="Обычный 4 4 5 6 2" xfId="4428"/>
    <cellStyle name="Обычный 4 4 5 7" xfId="4429"/>
    <cellStyle name="Обычный 4 4 5 8" xfId="6973"/>
    <cellStyle name="Обычный 4 4 6" xfId="1142"/>
    <cellStyle name="Обычный 4 4 6 2" xfId="1143"/>
    <cellStyle name="Обычный 4 4 6 2 2" xfId="4430"/>
    <cellStyle name="Обычный 4 4 6 2 2 2" xfId="6974"/>
    <cellStyle name="Обычный 4 4 6 2 3" xfId="4431"/>
    <cellStyle name="Обычный 4 4 6 3" xfId="4432"/>
    <cellStyle name="Обычный 4 4 6 3 2" xfId="6975"/>
    <cellStyle name="Обычный 4 4 6 4" xfId="4433"/>
    <cellStyle name="Обычный 4 4 7" xfId="1144"/>
    <cellStyle name="Обычный 4 4 7 2" xfId="4434"/>
    <cellStyle name="Обычный 4 4 7 2 2" xfId="6976"/>
    <cellStyle name="Обычный 4 4 7 3" xfId="4435"/>
    <cellStyle name="Обычный 4 4 8" xfId="1145"/>
    <cellStyle name="Обычный 4 4 8 2" xfId="4436"/>
    <cellStyle name="Обычный 4 4 8 2 2" xfId="6977"/>
    <cellStyle name="Обычный 4 4 8 3" xfId="4437"/>
    <cellStyle name="Обычный 4 4 9" xfId="1146"/>
    <cellStyle name="Обычный 4 4 9 2" xfId="4438"/>
    <cellStyle name="Обычный 4 4 9 2 2" xfId="6978"/>
    <cellStyle name="Обычный 4 4 9 3" xfId="4439"/>
    <cellStyle name="Обычный 4 4_Расчет скв 3П Яснополянской  БУ румынский  без ВСП от 09082019" xfId="2019"/>
    <cellStyle name="Обычный 4 5" xfId="1147"/>
    <cellStyle name="Обычный 4 5 10" xfId="2237"/>
    <cellStyle name="Обычный 4 5 10 2" xfId="4440"/>
    <cellStyle name="Обычный 4 5 11" xfId="4441"/>
    <cellStyle name="Обычный 4 5 12" xfId="6979"/>
    <cellStyle name="Обычный 4 5 2" xfId="1148"/>
    <cellStyle name="Обычный 4 5 2 2" xfId="1149"/>
    <cellStyle name="Обычный 4 5 2 2 2" xfId="1150"/>
    <cellStyle name="Обычный 4 5 2 2 2 2" xfId="1151"/>
    <cellStyle name="Обычный 4 5 2 2 2 2 2" xfId="4442"/>
    <cellStyle name="Обычный 4 5 2 2 2 2 2 2" xfId="6980"/>
    <cellStyle name="Обычный 4 5 2 2 2 2 3" xfId="4443"/>
    <cellStyle name="Обычный 4 5 2 2 2 3" xfId="4444"/>
    <cellStyle name="Обычный 4 5 2 2 2 3 2" xfId="6981"/>
    <cellStyle name="Обычный 4 5 2 2 2 4" xfId="4445"/>
    <cellStyle name="Обычный 4 5 2 2 3" xfId="1152"/>
    <cellStyle name="Обычный 4 5 2 2 3 2" xfId="4446"/>
    <cellStyle name="Обычный 4 5 2 2 3 2 2" xfId="6982"/>
    <cellStyle name="Обычный 4 5 2 2 3 3" xfId="4447"/>
    <cellStyle name="Обычный 4 5 2 2 4" xfId="1153"/>
    <cellStyle name="Обычный 4 5 2 2 4 2" xfId="4448"/>
    <cellStyle name="Обычный 4 5 2 2 4 2 2" xfId="6983"/>
    <cellStyle name="Обычный 4 5 2 2 4 3" xfId="4449"/>
    <cellStyle name="Обычный 4 5 2 2 5" xfId="1154"/>
    <cellStyle name="Обычный 4 5 2 2 5 2" xfId="4450"/>
    <cellStyle name="Обычный 4 5 2 2 5 2 2" xfId="6984"/>
    <cellStyle name="Обычный 4 5 2 2 5 3" xfId="4451"/>
    <cellStyle name="Обычный 4 5 2 2 6" xfId="2238"/>
    <cellStyle name="Обычный 4 5 2 2 6 2" xfId="4452"/>
    <cellStyle name="Обычный 4 5 2 2 7" xfId="4453"/>
    <cellStyle name="Обычный 4 5 2 2 8" xfId="6985"/>
    <cellStyle name="Обычный 4 5 2 3" xfId="1155"/>
    <cellStyle name="Обычный 4 5 2 3 2" xfId="1156"/>
    <cellStyle name="Обычный 4 5 2 3 2 2" xfId="4454"/>
    <cellStyle name="Обычный 4 5 2 3 2 2 2" xfId="6986"/>
    <cellStyle name="Обычный 4 5 2 3 2 3" xfId="4455"/>
    <cellStyle name="Обычный 4 5 2 3 3" xfId="4456"/>
    <cellStyle name="Обычный 4 5 2 3 3 2" xfId="6987"/>
    <cellStyle name="Обычный 4 5 2 3 4" xfId="4457"/>
    <cellStyle name="Обычный 4 5 2 4" xfId="1157"/>
    <cellStyle name="Обычный 4 5 2 4 2" xfId="4458"/>
    <cellStyle name="Обычный 4 5 2 4 2 2" xfId="6988"/>
    <cellStyle name="Обычный 4 5 2 4 3" xfId="4459"/>
    <cellStyle name="Обычный 4 5 2 5" xfId="1158"/>
    <cellStyle name="Обычный 4 5 2 5 2" xfId="4460"/>
    <cellStyle name="Обычный 4 5 2 5 2 2" xfId="6989"/>
    <cellStyle name="Обычный 4 5 2 5 3" xfId="4461"/>
    <cellStyle name="Обычный 4 5 2 6" xfId="1159"/>
    <cellStyle name="Обычный 4 5 2 6 2" xfId="4462"/>
    <cellStyle name="Обычный 4 5 2 6 2 2" xfId="6990"/>
    <cellStyle name="Обычный 4 5 2 6 3" xfId="4463"/>
    <cellStyle name="Обычный 4 5 2 7" xfId="2239"/>
    <cellStyle name="Обычный 4 5 2 7 2" xfId="4464"/>
    <cellStyle name="Обычный 4 5 2 8" xfId="4465"/>
    <cellStyle name="Обычный 4 5 2 9" xfId="6991"/>
    <cellStyle name="Обычный 4 5 2_Расчет скв 3П Яснополянской  БУ румынский  без ВСП от 09082019" xfId="2020"/>
    <cellStyle name="Обычный 4 5 3" xfId="1160"/>
    <cellStyle name="Обычный 4 5 3 2" xfId="1161"/>
    <cellStyle name="Обычный 4 5 3 2 2" xfId="1162"/>
    <cellStyle name="Обычный 4 5 3 2 2 2" xfId="4466"/>
    <cellStyle name="Обычный 4 5 3 2 2 2 2" xfId="6992"/>
    <cellStyle name="Обычный 4 5 3 2 2 3" xfId="4467"/>
    <cellStyle name="Обычный 4 5 3 2 3" xfId="4468"/>
    <cellStyle name="Обычный 4 5 3 2 3 2" xfId="6993"/>
    <cellStyle name="Обычный 4 5 3 2 4" xfId="4469"/>
    <cellStyle name="Обычный 4 5 3 3" xfId="1163"/>
    <cellStyle name="Обычный 4 5 3 3 2" xfId="4470"/>
    <cellStyle name="Обычный 4 5 3 3 2 2" xfId="6994"/>
    <cellStyle name="Обычный 4 5 3 3 3" xfId="4471"/>
    <cellStyle name="Обычный 4 5 3 4" xfId="1164"/>
    <cellStyle name="Обычный 4 5 3 4 2" xfId="4472"/>
    <cellStyle name="Обычный 4 5 3 4 2 2" xfId="6995"/>
    <cellStyle name="Обычный 4 5 3 4 3" xfId="4473"/>
    <cellStyle name="Обычный 4 5 3 5" xfId="1165"/>
    <cellStyle name="Обычный 4 5 3 5 2" xfId="4474"/>
    <cellStyle name="Обычный 4 5 3 5 2 2" xfId="6996"/>
    <cellStyle name="Обычный 4 5 3 5 3" xfId="4475"/>
    <cellStyle name="Обычный 4 5 3 6" xfId="2240"/>
    <cellStyle name="Обычный 4 5 3 6 2" xfId="4476"/>
    <cellStyle name="Обычный 4 5 3 7" xfId="4477"/>
    <cellStyle name="Обычный 4 5 3 8" xfId="6997"/>
    <cellStyle name="Обычный 4 5 4" xfId="1166"/>
    <cellStyle name="Обычный 4 5 4 2" xfId="1167"/>
    <cellStyle name="Обычный 4 5 4 2 2" xfId="1168"/>
    <cellStyle name="Обычный 4 5 4 2 2 2" xfId="4478"/>
    <cellStyle name="Обычный 4 5 4 2 2 2 2" xfId="6998"/>
    <cellStyle name="Обычный 4 5 4 2 2 3" xfId="4479"/>
    <cellStyle name="Обычный 4 5 4 2 3" xfId="4480"/>
    <cellStyle name="Обычный 4 5 4 2 3 2" xfId="6999"/>
    <cellStyle name="Обычный 4 5 4 2 4" xfId="4481"/>
    <cellStyle name="Обычный 4 5 4 3" xfId="1169"/>
    <cellStyle name="Обычный 4 5 4 3 2" xfId="4482"/>
    <cellStyle name="Обычный 4 5 4 3 2 2" xfId="7000"/>
    <cellStyle name="Обычный 4 5 4 3 3" xfId="4483"/>
    <cellStyle name="Обычный 4 5 4 4" xfId="1170"/>
    <cellStyle name="Обычный 4 5 4 4 2" xfId="4484"/>
    <cellStyle name="Обычный 4 5 4 4 2 2" xfId="7001"/>
    <cellStyle name="Обычный 4 5 4 4 3" xfId="4485"/>
    <cellStyle name="Обычный 4 5 4 5" xfId="1171"/>
    <cellStyle name="Обычный 4 5 4 5 2" xfId="4486"/>
    <cellStyle name="Обычный 4 5 4 5 2 2" xfId="7002"/>
    <cellStyle name="Обычный 4 5 4 5 3" xfId="4487"/>
    <cellStyle name="Обычный 4 5 4 6" xfId="2241"/>
    <cellStyle name="Обычный 4 5 4 6 2" xfId="4488"/>
    <cellStyle name="Обычный 4 5 4 7" xfId="4489"/>
    <cellStyle name="Обычный 4 5 4 8" xfId="7003"/>
    <cellStyle name="Обычный 4 5 5" xfId="1172"/>
    <cellStyle name="Обычный 4 5 5 2" xfId="1173"/>
    <cellStyle name="Обычный 4 5 5 2 2" xfId="1174"/>
    <cellStyle name="Обычный 4 5 5 2 2 2" xfId="4490"/>
    <cellStyle name="Обычный 4 5 5 2 2 2 2" xfId="7004"/>
    <cellStyle name="Обычный 4 5 5 2 2 3" xfId="4491"/>
    <cellStyle name="Обычный 4 5 5 2 3" xfId="4492"/>
    <cellStyle name="Обычный 4 5 5 2 3 2" xfId="7005"/>
    <cellStyle name="Обычный 4 5 5 2 4" xfId="4493"/>
    <cellStyle name="Обычный 4 5 5 3" xfId="1175"/>
    <cellStyle name="Обычный 4 5 5 3 2" xfId="4494"/>
    <cellStyle name="Обычный 4 5 5 3 2 2" xfId="7006"/>
    <cellStyle name="Обычный 4 5 5 3 3" xfId="4495"/>
    <cellStyle name="Обычный 4 5 5 4" xfId="1176"/>
    <cellStyle name="Обычный 4 5 5 4 2" xfId="4496"/>
    <cellStyle name="Обычный 4 5 5 4 2 2" xfId="7007"/>
    <cellStyle name="Обычный 4 5 5 4 3" xfId="4497"/>
    <cellStyle name="Обычный 4 5 5 5" xfId="1177"/>
    <cellStyle name="Обычный 4 5 5 5 2" xfId="4498"/>
    <cellStyle name="Обычный 4 5 5 5 2 2" xfId="7008"/>
    <cellStyle name="Обычный 4 5 5 5 3" xfId="4499"/>
    <cellStyle name="Обычный 4 5 5 6" xfId="2242"/>
    <cellStyle name="Обычный 4 5 5 6 2" xfId="4500"/>
    <cellStyle name="Обычный 4 5 5 7" xfId="4501"/>
    <cellStyle name="Обычный 4 5 5 8" xfId="7009"/>
    <cellStyle name="Обычный 4 5 6" xfId="1178"/>
    <cellStyle name="Обычный 4 5 6 2" xfId="1179"/>
    <cellStyle name="Обычный 4 5 6 2 2" xfId="4502"/>
    <cellStyle name="Обычный 4 5 6 2 2 2" xfId="7010"/>
    <cellStyle name="Обычный 4 5 6 2 3" xfId="4503"/>
    <cellStyle name="Обычный 4 5 6 3" xfId="4504"/>
    <cellStyle name="Обычный 4 5 6 3 2" xfId="7011"/>
    <cellStyle name="Обычный 4 5 6 4" xfId="4505"/>
    <cellStyle name="Обычный 4 5 7" xfId="1180"/>
    <cellStyle name="Обычный 4 5 7 2" xfId="4506"/>
    <cellStyle name="Обычный 4 5 7 2 2" xfId="7012"/>
    <cellStyle name="Обычный 4 5 7 3" xfId="4507"/>
    <cellStyle name="Обычный 4 5 8" xfId="1181"/>
    <cellStyle name="Обычный 4 5 8 2" xfId="4508"/>
    <cellStyle name="Обычный 4 5 8 2 2" xfId="7013"/>
    <cellStyle name="Обычный 4 5 8 3" xfId="4509"/>
    <cellStyle name="Обычный 4 5 9" xfId="1182"/>
    <cellStyle name="Обычный 4 5 9 2" xfId="4510"/>
    <cellStyle name="Обычный 4 5 9 2 2" xfId="7014"/>
    <cellStyle name="Обычный 4 5 9 3" xfId="4511"/>
    <cellStyle name="Обычный 4 5_Расчет скв 3П Яснополянской  БУ румынский  без ВСП от 09082019" xfId="2021"/>
    <cellStyle name="Обычный 4 6" xfId="1183"/>
    <cellStyle name="Обычный 4 6 2" xfId="1958"/>
    <cellStyle name="Обычный 4 7" xfId="1957"/>
    <cellStyle name="Обычный 4 7 2" xfId="2066"/>
    <cellStyle name="Обычный 4 8" xfId="2067"/>
    <cellStyle name="Обычный 4 9" xfId="2068"/>
    <cellStyle name="Обычный 45" xfId="1184"/>
    <cellStyle name="Обычный 45 2" xfId="1185"/>
    <cellStyle name="Обычный 45 2 2" xfId="4512"/>
    <cellStyle name="Обычный 45 2 2 2" xfId="7015"/>
    <cellStyle name="Обычный 45 2 3" xfId="4513"/>
    <cellStyle name="Обычный 45 3" xfId="1186"/>
    <cellStyle name="Обычный 45 3 2" xfId="4514"/>
    <cellStyle name="Обычный 45 3 2 2" xfId="7016"/>
    <cellStyle name="Обычный 45 3 3" xfId="4515"/>
    <cellStyle name="Обычный 45 4" xfId="1187"/>
    <cellStyle name="Обычный 45 4 2" xfId="4516"/>
    <cellStyle name="Обычный 45 4 2 2" xfId="7017"/>
    <cellStyle name="Обычный 45 4 3" xfId="4517"/>
    <cellStyle name="Обычный 45 5" xfId="1954"/>
    <cellStyle name="Обычный 45 5 2" xfId="7018"/>
    <cellStyle name="Обычный 45 5 3" xfId="7740"/>
    <cellStyle name="Обычный 45 6" xfId="1959"/>
    <cellStyle name="Обычный 45 6 2" xfId="7739"/>
    <cellStyle name="Обычный 45 7" xfId="7019"/>
    <cellStyle name="Обычный 5" xfId="1188"/>
    <cellStyle name="Обычный 5 10" xfId="1189"/>
    <cellStyle name="Обычный 5 10 2" xfId="4518"/>
    <cellStyle name="Обычный 5 10 2 2" xfId="7020"/>
    <cellStyle name="Обычный 5 10 3" xfId="4519"/>
    <cellStyle name="Обычный 5 11" xfId="1190"/>
    <cellStyle name="Обычный 5 11 2" xfId="4520"/>
    <cellStyle name="Обычный 5 11 2 2" xfId="7021"/>
    <cellStyle name="Обычный 5 11 3" xfId="4521"/>
    <cellStyle name="Обычный 5 12" xfId="1191"/>
    <cellStyle name="Обычный 5 12 2" xfId="4522"/>
    <cellStyle name="Обычный 5 12 2 2" xfId="7022"/>
    <cellStyle name="Обычный 5 12 3" xfId="4523"/>
    <cellStyle name="Обычный 5 13" xfId="2243"/>
    <cellStyle name="Обычный 5 2" xfId="1192"/>
    <cellStyle name="Обычный 5 2 10" xfId="1961"/>
    <cellStyle name="Обычный 5 2 10 2" xfId="4524"/>
    <cellStyle name="Обычный 5 2 11" xfId="4525"/>
    <cellStyle name="Обычный 5 2 12" xfId="4526"/>
    <cellStyle name="Обычный 5 2 2" xfId="1193"/>
    <cellStyle name="Обычный 5 2 2 2" xfId="1194"/>
    <cellStyle name="Обычный 5 2 2 2 2" xfId="1195"/>
    <cellStyle name="Обычный 5 2 2 2 2 2" xfId="1196"/>
    <cellStyle name="Обычный 5 2 2 2 2 2 2" xfId="4527"/>
    <cellStyle name="Обычный 5 2 2 2 2 2 2 2" xfId="7023"/>
    <cellStyle name="Обычный 5 2 2 2 2 2 3" xfId="4528"/>
    <cellStyle name="Обычный 5 2 2 2 2 3" xfId="4529"/>
    <cellStyle name="Обычный 5 2 2 2 2 3 2" xfId="7024"/>
    <cellStyle name="Обычный 5 2 2 2 2 4" xfId="4530"/>
    <cellStyle name="Обычный 5 2 2 2 3" xfId="1197"/>
    <cellStyle name="Обычный 5 2 2 2 3 2" xfId="4531"/>
    <cellStyle name="Обычный 5 2 2 2 3 2 2" xfId="7025"/>
    <cellStyle name="Обычный 5 2 2 2 3 3" xfId="4532"/>
    <cellStyle name="Обычный 5 2 2 2 4" xfId="1198"/>
    <cellStyle name="Обычный 5 2 2 2 4 2" xfId="4533"/>
    <cellStyle name="Обычный 5 2 2 2 4 2 2" xfId="7026"/>
    <cellStyle name="Обычный 5 2 2 2 4 3" xfId="4534"/>
    <cellStyle name="Обычный 5 2 2 2 5" xfId="1199"/>
    <cellStyle name="Обычный 5 2 2 2 5 2" xfId="4535"/>
    <cellStyle name="Обычный 5 2 2 2 5 2 2" xfId="7027"/>
    <cellStyle name="Обычный 5 2 2 2 5 3" xfId="4536"/>
    <cellStyle name="Обычный 5 2 2 2 6" xfId="2244"/>
    <cellStyle name="Обычный 5 2 2 2 6 2" xfId="4537"/>
    <cellStyle name="Обычный 5 2 2 2 7" xfId="4538"/>
    <cellStyle name="Обычный 5 2 2 2 8" xfId="7028"/>
    <cellStyle name="Обычный 5 2 2 3" xfId="1200"/>
    <cellStyle name="Обычный 5 2 2 3 2" xfId="1201"/>
    <cellStyle name="Обычный 5 2 2 3 2 2" xfId="4539"/>
    <cellStyle name="Обычный 5 2 2 3 2 2 2" xfId="7029"/>
    <cellStyle name="Обычный 5 2 2 3 2 3" xfId="4540"/>
    <cellStyle name="Обычный 5 2 2 3 3" xfId="4541"/>
    <cellStyle name="Обычный 5 2 2 3 3 2" xfId="7030"/>
    <cellStyle name="Обычный 5 2 2 3 4" xfId="4542"/>
    <cellStyle name="Обычный 5 2 2 4" xfId="1202"/>
    <cellStyle name="Обычный 5 2 2 4 2" xfId="4543"/>
    <cellStyle name="Обычный 5 2 2 4 2 2" xfId="7031"/>
    <cellStyle name="Обычный 5 2 2 4 3" xfId="4544"/>
    <cellStyle name="Обычный 5 2 2 5" xfId="1203"/>
    <cellStyle name="Обычный 5 2 2 5 2" xfId="4545"/>
    <cellStyle name="Обычный 5 2 2 5 2 2" xfId="7032"/>
    <cellStyle name="Обычный 5 2 2 5 3" xfId="4546"/>
    <cellStyle name="Обычный 5 2 2 6" xfId="1204"/>
    <cellStyle name="Обычный 5 2 2 6 2" xfId="4547"/>
    <cellStyle name="Обычный 5 2 2 6 2 2" xfId="7033"/>
    <cellStyle name="Обычный 5 2 2 6 3" xfId="4548"/>
    <cellStyle name="Обычный 5 2 2 7" xfId="2245"/>
    <cellStyle name="Обычный 5 2 2 7 2" xfId="4549"/>
    <cellStyle name="Обычный 5 2 2 8" xfId="4550"/>
    <cellStyle name="Обычный 5 2 2 9" xfId="7034"/>
    <cellStyle name="Обычный 5 2 2_Расчет скв 3П Яснополянской  БУ румынский  без ВСП от 09082019" xfId="2022"/>
    <cellStyle name="Обычный 5 2 3" xfId="1205"/>
    <cellStyle name="Обычный 5 2 3 2" xfId="1206"/>
    <cellStyle name="Обычный 5 2 3 2 2" xfId="1207"/>
    <cellStyle name="Обычный 5 2 3 2 2 2" xfId="4551"/>
    <cellStyle name="Обычный 5 2 3 2 2 2 2" xfId="7035"/>
    <cellStyle name="Обычный 5 2 3 2 2 3" xfId="4552"/>
    <cellStyle name="Обычный 5 2 3 2 3" xfId="4553"/>
    <cellStyle name="Обычный 5 2 3 2 3 2" xfId="7036"/>
    <cellStyle name="Обычный 5 2 3 2 4" xfId="4554"/>
    <cellStyle name="Обычный 5 2 3 3" xfId="1208"/>
    <cellStyle name="Обычный 5 2 3 3 2" xfId="4555"/>
    <cellStyle name="Обычный 5 2 3 3 2 2" xfId="7037"/>
    <cellStyle name="Обычный 5 2 3 3 3" xfId="4556"/>
    <cellStyle name="Обычный 5 2 3 4" xfId="1209"/>
    <cellStyle name="Обычный 5 2 3 4 2" xfId="4557"/>
    <cellStyle name="Обычный 5 2 3 4 2 2" xfId="7038"/>
    <cellStyle name="Обычный 5 2 3 4 3" xfId="4558"/>
    <cellStyle name="Обычный 5 2 3 5" xfId="1210"/>
    <cellStyle name="Обычный 5 2 3 5 2" xfId="4559"/>
    <cellStyle name="Обычный 5 2 3 5 2 2" xfId="7039"/>
    <cellStyle name="Обычный 5 2 3 5 3" xfId="4560"/>
    <cellStyle name="Обычный 5 2 3 6" xfId="2246"/>
    <cellStyle name="Обычный 5 2 3 6 2" xfId="4561"/>
    <cellStyle name="Обычный 5 2 3 7" xfId="4562"/>
    <cellStyle name="Обычный 5 2 3 8" xfId="7040"/>
    <cellStyle name="Обычный 5 2 4" xfId="1211"/>
    <cellStyle name="Обычный 5 2 4 2" xfId="1212"/>
    <cellStyle name="Обычный 5 2 4 2 2" xfId="1213"/>
    <cellStyle name="Обычный 5 2 4 2 2 2" xfId="4563"/>
    <cellStyle name="Обычный 5 2 4 2 2 2 2" xfId="7041"/>
    <cellStyle name="Обычный 5 2 4 2 2 3" xfId="4564"/>
    <cellStyle name="Обычный 5 2 4 2 3" xfId="4565"/>
    <cellStyle name="Обычный 5 2 4 2 3 2" xfId="7042"/>
    <cellStyle name="Обычный 5 2 4 2 4" xfId="4566"/>
    <cellStyle name="Обычный 5 2 4 3" xfId="1214"/>
    <cellStyle name="Обычный 5 2 4 3 2" xfId="4567"/>
    <cellStyle name="Обычный 5 2 4 3 2 2" xfId="7043"/>
    <cellStyle name="Обычный 5 2 4 3 3" xfId="4568"/>
    <cellStyle name="Обычный 5 2 4 4" xfId="1215"/>
    <cellStyle name="Обычный 5 2 4 4 2" xfId="4569"/>
    <cellStyle name="Обычный 5 2 4 4 2 2" xfId="7044"/>
    <cellStyle name="Обычный 5 2 4 4 3" xfId="4570"/>
    <cellStyle name="Обычный 5 2 4 5" xfId="1216"/>
    <cellStyle name="Обычный 5 2 4 5 2" xfId="4571"/>
    <cellStyle name="Обычный 5 2 4 5 2 2" xfId="7045"/>
    <cellStyle name="Обычный 5 2 4 5 3" xfId="4572"/>
    <cellStyle name="Обычный 5 2 4 6" xfId="2247"/>
    <cellStyle name="Обычный 5 2 4 6 2" xfId="4573"/>
    <cellStyle name="Обычный 5 2 4 7" xfId="4574"/>
    <cellStyle name="Обычный 5 2 4 8" xfId="7046"/>
    <cellStyle name="Обычный 5 2 5" xfId="1217"/>
    <cellStyle name="Обычный 5 2 5 2" xfId="1218"/>
    <cellStyle name="Обычный 5 2 5 2 2" xfId="1219"/>
    <cellStyle name="Обычный 5 2 5 2 2 2" xfId="4575"/>
    <cellStyle name="Обычный 5 2 5 2 2 2 2" xfId="7047"/>
    <cellStyle name="Обычный 5 2 5 2 2 3" xfId="4576"/>
    <cellStyle name="Обычный 5 2 5 2 3" xfId="4577"/>
    <cellStyle name="Обычный 5 2 5 2 3 2" xfId="7048"/>
    <cellStyle name="Обычный 5 2 5 2 4" xfId="4578"/>
    <cellStyle name="Обычный 5 2 5 3" xfId="1220"/>
    <cellStyle name="Обычный 5 2 5 3 2" xfId="4579"/>
    <cellStyle name="Обычный 5 2 5 3 2 2" xfId="7049"/>
    <cellStyle name="Обычный 5 2 5 3 3" xfId="4580"/>
    <cellStyle name="Обычный 5 2 5 4" xfId="1221"/>
    <cellStyle name="Обычный 5 2 5 4 2" xfId="4581"/>
    <cellStyle name="Обычный 5 2 5 4 2 2" xfId="7050"/>
    <cellStyle name="Обычный 5 2 5 4 3" xfId="4582"/>
    <cellStyle name="Обычный 5 2 5 5" xfId="1222"/>
    <cellStyle name="Обычный 5 2 5 5 2" xfId="4583"/>
    <cellStyle name="Обычный 5 2 5 5 2 2" xfId="7051"/>
    <cellStyle name="Обычный 5 2 5 5 3" xfId="4584"/>
    <cellStyle name="Обычный 5 2 5 6" xfId="2248"/>
    <cellStyle name="Обычный 5 2 5 6 2" xfId="4585"/>
    <cellStyle name="Обычный 5 2 5 7" xfId="4586"/>
    <cellStyle name="Обычный 5 2 5 8" xfId="7052"/>
    <cellStyle name="Обычный 5 2 6" xfId="1223"/>
    <cellStyle name="Обычный 5 2 6 2" xfId="1224"/>
    <cellStyle name="Обычный 5 2 6 2 2" xfId="4587"/>
    <cellStyle name="Обычный 5 2 6 2 2 2" xfId="7053"/>
    <cellStyle name="Обычный 5 2 6 2 3" xfId="4588"/>
    <cellStyle name="Обычный 5 2 6 3" xfId="4589"/>
    <cellStyle name="Обычный 5 2 6 3 2" xfId="7054"/>
    <cellStyle name="Обычный 5 2 6 4" xfId="4590"/>
    <cellStyle name="Обычный 5 2 7" xfId="1225"/>
    <cellStyle name="Обычный 5 2 7 2" xfId="4591"/>
    <cellStyle name="Обычный 5 2 7 2 2" xfId="7055"/>
    <cellStyle name="Обычный 5 2 7 3" xfId="4592"/>
    <cellStyle name="Обычный 5 2 8" xfId="1226"/>
    <cellStyle name="Обычный 5 2 8 2" xfId="4593"/>
    <cellStyle name="Обычный 5 2 8 2 2" xfId="7056"/>
    <cellStyle name="Обычный 5 2 8 3" xfId="4594"/>
    <cellStyle name="Обычный 5 2 9" xfId="1227"/>
    <cellStyle name="Обычный 5 2 9 2" xfId="4595"/>
    <cellStyle name="Обычный 5 2 9 2 2" xfId="7057"/>
    <cellStyle name="Обычный 5 2 9 3" xfId="4596"/>
    <cellStyle name="Обычный 5 2_Расчет скв 3П Яснополянской  БУ румынский  без ВСП от 09082019" xfId="2023"/>
    <cellStyle name="Обычный 5 3" xfId="1228"/>
    <cellStyle name="Обычный 5 3 10" xfId="2249"/>
    <cellStyle name="Обычный 5 3 10 2" xfId="4597"/>
    <cellStyle name="Обычный 5 3 11" xfId="4598"/>
    <cellStyle name="Обычный 5 3 12" xfId="7058"/>
    <cellStyle name="Обычный 5 3 2" xfId="1229"/>
    <cellStyle name="Обычный 5 3 2 2" xfId="1230"/>
    <cellStyle name="Обычный 5 3 2 2 2" xfId="1231"/>
    <cellStyle name="Обычный 5 3 2 2 2 2" xfId="1232"/>
    <cellStyle name="Обычный 5 3 2 2 2 2 2" xfId="4599"/>
    <cellStyle name="Обычный 5 3 2 2 2 2 2 2" xfId="7059"/>
    <cellStyle name="Обычный 5 3 2 2 2 2 3" xfId="4600"/>
    <cellStyle name="Обычный 5 3 2 2 2 3" xfId="4601"/>
    <cellStyle name="Обычный 5 3 2 2 2 3 2" xfId="7060"/>
    <cellStyle name="Обычный 5 3 2 2 2 4" xfId="4602"/>
    <cellStyle name="Обычный 5 3 2 2 3" xfId="1233"/>
    <cellStyle name="Обычный 5 3 2 2 3 2" xfId="4603"/>
    <cellStyle name="Обычный 5 3 2 2 3 2 2" xfId="7061"/>
    <cellStyle name="Обычный 5 3 2 2 3 3" xfId="4604"/>
    <cellStyle name="Обычный 5 3 2 2 4" xfId="1234"/>
    <cellStyle name="Обычный 5 3 2 2 4 2" xfId="4605"/>
    <cellStyle name="Обычный 5 3 2 2 4 2 2" xfId="7062"/>
    <cellStyle name="Обычный 5 3 2 2 4 3" xfId="4606"/>
    <cellStyle name="Обычный 5 3 2 2 5" xfId="1235"/>
    <cellStyle name="Обычный 5 3 2 2 5 2" xfId="4607"/>
    <cellStyle name="Обычный 5 3 2 2 5 2 2" xfId="7063"/>
    <cellStyle name="Обычный 5 3 2 2 5 3" xfId="4608"/>
    <cellStyle name="Обычный 5 3 2 2 6" xfId="2250"/>
    <cellStyle name="Обычный 5 3 2 2 6 2" xfId="4609"/>
    <cellStyle name="Обычный 5 3 2 2 7" xfId="4610"/>
    <cellStyle name="Обычный 5 3 2 2 8" xfId="7064"/>
    <cellStyle name="Обычный 5 3 2 3" xfId="1236"/>
    <cellStyle name="Обычный 5 3 2 3 2" xfId="1237"/>
    <cellStyle name="Обычный 5 3 2 3 2 2" xfId="4611"/>
    <cellStyle name="Обычный 5 3 2 3 2 2 2" xfId="7065"/>
    <cellStyle name="Обычный 5 3 2 3 2 3" xfId="4612"/>
    <cellStyle name="Обычный 5 3 2 3 3" xfId="4613"/>
    <cellStyle name="Обычный 5 3 2 3 3 2" xfId="7066"/>
    <cellStyle name="Обычный 5 3 2 3 4" xfId="4614"/>
    <cellStyle name="Обычный 5 3 2 4" xfId="1238"/>
    <cellStyle name="Обычный 5 3 2 4 2" xfId="4615"/>
    <cellStyle name="Обычный 5 3 2 4 2 2" xfId="7067"/>
    <cellStyle name="Обычный 5 3 2 4 3" xfId="4616"/>
    <cellStyle name="Обычный 5 3 2 5" xfId="1239"/>
    <cellStyle name="Обычный 5 3 2 5 2" xfId="4617"/>
    <cellStyle name="Обычный 5 3 2 5 2 2" xfId="7068"/>
    <cellStyle name="Обычный 5 3 2 5 3" xfId="4618"/>
    <cellStyle name="Обычный 5 3 2 6" xfId="1240"/>
    <cellStyle name="Обычный 5 3 2 6 2" xfId="4619"/>
    <cellStyle name="Обычный 5 3 2 6 2 2" xfId="7069"/>
    <cellStyle name="Обычный 5 3 2 6 3" xfId="4620"/>
    <cellStyle name="Обычный 5 3 2 7" xfId="2251"/>
    <cellStyle name="Обычный 5 3 2 7 2" xfId="4621"/>
    <cellStyle name="Обычный 5 3 2 8" xfId="4622"/>
    <cellStyle name="Обычный 5 3 2 9" xfId="7070"/>
    <cellStyle name="Обычный 5 3 2_Расчет скв 3П Яснополянской  БУ румынский  без ВСП от 09082019" xfId="2024"/>
    <cellStyle name="Обычный 5 3 3" xfId="1241"/>
    <cellStyle name="Обычный 5 3 3 2" xfId="1242"/>
    <cellStyle name="Обычный 5 3 3 2 2" xfId="1243"/>
    <cellStyle name="Обычный 5 3 3 2 2 2" xfId="4623"/>
    <cellStyle name="Обычный 5 3 3 2 2 2 2" xfId="7071"/>
    <cellStyle name="Обычный 5 3 3 2 2 3" xfId="4624"/>
    <cellStyle name="Обычный 5 3 3 2 3" xfId="4625"/>
    <cellStyle name="Обычный 5 3 3 2 3 2" xfId="7072"/>
    <cellStyle name="Обычный 5 3 3 2 4" xfId="4626"/>
    <cellStyle name="Обычный 5 3 3 3" xfId="1244"/>
    <cellStyle name="Обычный 5 3 3 3 2" xfId="4627"/>
    <cellStyle name="Обычный 5 3 3 3 2 2" xfId="7073"/>
    <cellStyle name="Обычный 5 3 3 3 3" xfId="4628"/>
    <cellStyle name="Обычный 5 3 3 4" xfId="1245"/>
    <cellStyle name="Обычный 5 3 3 4 2" xfId="4629"/>
    <cellStyle name="Обычный 5 3 3 4 2 2" xfId="7074"/>
    <cellStyle name="Обычный 5 3 3 4 3" xfId="4630"/>
    <cellStyle name="Обычный 5 3 3 5" xfId="1246"/>
    <cellStyle name="Обычный 5 3 3 5 2" xfId="4631"/>
    <cellStyle name="Обычный 5 3 3 5 2 2" xfId="7075"/>
    <cellStyle name="Обычный 5 3 3 5 3" xfId="4632"/>
    <cellStyle name="Обычный 5 3 3 6" xfId="2252"/>
    <cellStyle name="Обычный 5 3 3 6 2" xfId="4633"/>
    <cellStyle name="Обычный 5 3 3 7" xfId="4634"/>
    <cellStyle name="Обычный 5 3 3 8" xfId="7076"/>
    <cellStyle name="Обычный 5 3 4" xfId="1247"/>
    <cellStyle name="Обычный 5 3 4 2" xfId="1248"/>
    <cellStyle name="Обычный 5 3 4 2 2" xfId="1249"/>
    <cellStyle name="Обычный 5 3 4 2 2 2" xfId="4635"/>
    <cellStyle name="Обычный 5 3 4 2 2 2 2" xfId="7077"/>
    <cellStyle name="Обычный 5 3 4 2 2 3" xfId="4636"/>
    <cellStyle name="Обычный 5 3 4 2 3" xfId="4637"/>
    <cellStyle name="Обычный 5 3 4 2 3 2" xfId="7078"/>
    <cellStyle name="Обычный 5 3 4 2 4" xfId="4638"/>
    <cellStyle name="Обычный 5 3 4 3" xfId="1250"/>
    <cellStyle name="Обычный 5 3 4 3 2" xfId="4639"/>
    <cellStyle name="Обычный 5 3 4 3 2 2" xfId="7079"/>
    <cellStyle name="Обычный 5 3 4 3 3" xfId="4640"/>
    <cellStyle name="Обычный 5 3 4 4" xfId="1251"/>
    <cellStyle name="Обычный 5 3 4 4 2" xfId="4641"/>
    <cellStyle name="Обычный 5 3 4 4 2 2" xfId="7080"/>
    <cellStyle name="Обычный 5 3 4 4 3" xfId="4642"/>
    <cellStyle name="Обычный 5 3 4 5" xfId="1252"/>
    <cellStyle name="Обычный 5 3 4 5 2" xfId="4643"/>
    <cellStyle name="Обычный 5 3 4 5 2 2" xfId="7081"/>
    <cellStyle name="Обычный 5 3 4 5 3" xfId="4644"/>
    <cellStyle name="Обычный 5 3 4 6" xfId="2253"/>
    <cellStyle name="Обычный 5 3 4 6 2" xfId="4645"/>
    <cellStyle name="Обычный 5 3 4 7" xfId="4646"/>
    <cellStyle name="Обычный 5 3 4 8" xfId="7082"/>
    <cellStyle name="Обычный 5 3 5" xfId="1253"/>
    <cellStyle name="Обычный 5 3 5 2" xfId="1254"/>
    <cellStyle name="Обычный 5 3 5 2 2" xfId="1255"/>
    <cellStyle name="Обычный 5 3 5 2 2 2" xfId="4647"/>
    <cellStyle name="Обычный 5 3 5 2 2 2 2" xfId="7083"/>
    <cellStyle name="Обычный 5 3 5 2 2 3" xfId="4648"/>
    <cellStyle name="Обычный 5 3 5 2 3" xfId="4649"/>
    <cellStyle name="Обычный 5 3 5 2 3 2" xfId="7084"/>
    <cellStyle name="Обычный 5 3 5 2 4" xfId="4650"/>
    <cellStyle name="Обычный 5 3 5 3" xfId="1256"/>
    <cellStyle name="Обычный 5 3 5 3 2" xfId="4651"/>
    <cellStyle name="Обычный 5 3 5 3 2 2" xfId="7085"/>
    <cellStyle name="Обычный 5 3 5 3 3" xfId="4652"/>
    <cellStyle name="Обычный 5 3 5 4" xfId="1257"/>
    <cellStyle name="Обычный 5 3 5 4 2" xfId="4653"/>
    <cellStyle name="Обычный 5 3 5 4 2 2" xfId="7086"/>
    <cellStyle name="Обычный 5 3 5 4 3" xfId="4654"/>
    <cellStyle name="Обычный 5 3 5 5" xfId="1258"/>
    <cellStyle name="Обычный 5 3 5 5 2" xfId="4655"/>
    <cellStyle name="Обычный 5 3 5 5 2 2" xfId="7087"/>
    <cellStyle name="Обычный 5 3 5 5 3" xfId="4656"/>
    <cellStyle name="Обычный 5 3 5 6" xfId="2254"/>
    <cellStyle name="Обычный 5 3 5 6 2" xfId="4657"/>
    <cellStyle name="Обычный 5 3 5 7" xfId="4658"/>
    <cellStyle name="Обычный 5 3 5 8" xfId="7088"/>
    <cellStyle name="Обычный 5 3 6" xfId="1259"/>
    <cellStyle name="Обычный 5 3 6 2" xfId="1260"/>
    <cellStyle name="Обычный 5 3 6 2 2" xfId="4659"/>
    <cellStyle name="Обычный 5 3 6 2 2 2" xfId="7089"/>
    <cellStyle name="Обычный 5 3 6 2 3" xfId="4660"/>
    <cellStyle name="Обычный 5 3 6 3" xfId="4661"/>
    <cellStyle name="Обычный 5 3 6 3 2" xfId="7090"/>
    <cellStyle name="Обычный 5 3 6 4" xfId="4662"/>
    <cellStyle name="Обычный 5 3 7" xfId="1261"/>
    <cellStyle name="Обычный 5 3 7 2" xfId="4663"/>
    <cellStyle name="Обычный 5 3 7 2 2" xfId="7091"/>
    <cellStyle name="Обычный 5 3 7 3" xfId="4664"/>
    <cellStyle name="Обычный 5 3 8" xfId="1262"/>
    <cellStyle name="Обычный 5 3 8 2" xfId="4665"/>
    <cellStyle name="Обычный 5 3 8 2 2" xfId="7092"/>
    <cellStyle name="Обычный 5 3 8 3" xfId="4666"/>
    <cellStyle name="Обычный 5 3 9" xfId="1263"/>
    <cellStyle name="Обычный 5 3 9 2" xfId="4667"/>
    <cellStyle name="Обычный 5 3 9 2 2" xfId="7093"/>
    <cellStyle name="Обычный 5 3 9 3" xfId="4668"/>
    <cellStyle name="Обычный 5 3_Расчет скв 3П Яснополянской  БУ румынский  без ВСП от 09082019" xfId="2025"/>
    <cellStyle name="Обычный 5 4" xfId="1264"/>
    <cellStyle name="Обычный 5 4 10" xfId="2255"/>
    <cellStyle name="Обычный 5 4 10 2" xfId="4669"/>
    <cellStyle name="Обычный 5 4 11" xfId="4670"/>
    <cellStyle name="Обычный 5 4 12" xfId="7094"/>
    <cellStyle name="Обычный 5 4 2" xfId="1265"/>
    <cellStyle name="Обычный 5 4 2 2" xfId="1266"/>
    <cellStyle name="Обычный 5 4 2 2 2" xfId="1267"/>
    <cellStyle name="Обычный 5 4 2 2 2 2" xfId="1268"/>
    <cellStyle name="Обычный 5 4 2 2 2 2 2" xfId="4671"/>
    <cellStyle name="Обычный 5 4 2 2 2 2 2 2" xfId="7095"/>
    <cellStyle name="Обычный 5 4 2 2 2 2 3" xfId="4672"/>
    <cellStyle name="Обычный 5 4 2 2 2 3" xfId="4673"/>
    <cellStyle name="Обычный 5 4 2 2 2 3 2" xfId="7096"/>
    <cellStyle name="Обычный 5 4 2 2 2 4" xfId="4674"/>
    <cellStyle name="Обычный 5 4 2 2 3" xfId="1269"/>
    <cellStyle name="Обычный 5 4 2 2 3 2" xfId="4675"/>
    <cellStyle name="Обычный 5 4 2 2 3 2 2" xfId="7097"/>
    <cellStyle name="Обычный 5 4 2 2 3 3" xfId="4676"/>
    <cellStyle name="Обычный 5 4 2 2 4" xfId="1270"/>
    <cellStyle name="Обычный 5 4 2 2 4 2" xfId="4677"/>
    <cellStyle name="Обычный 5 4 2 2 4 2 2" xfId="7098"/>
    <cellStyle name="Обычный 5 4 2 2 4 3" xfId="4678"/>
    <cellStyle name="Обычный 5 4 2 2 5" xfId="1271"/>
    <cellStyle name="Обычный 5 4 2 2 5 2" xfId="4679"/>
    <cellStyle name="Обычный 5 4 2 2 5 2 2" xfId="7099"/>
    <cellStyle name="Обычный 5 4 2 2 5 3" xfId="4680"/>
    <cellStyle name="Обычный 5 4 2 2 6" xfId="2256"/>
    <cellStyle name="Обычный 5 4 2 2 6 2" xfId="4681"/>
    <cellStyle name="Обычный 5 4 2 2 7" xfId="4682"/>
    <cellStyle name="Обычный 5 4 2 2 8" xfId="7100"/>
    <cellStyle name="Обычный 5 4 2 3" xfId="1272"/>
    <cellStyle name="Обычный 5 4 2 3 2" xfId="1273"/>
    <cellStyle name="Обычный 5 4 2 3 2 2" xfId="4683"/>
    <cellStyle name="Обычный 5 4 2 3 2 2 2" xfId="7101"/>
    <cellStyle name="Обычный 5 4 2 3 2 3" xfId="4684"/>
    <cellStyle name="Обычный 5 4 2 3 3" xfId="4685"/>
    <cellStyle name="Обычный 5 4 2 3 3 2" xfId="7102"/>
    <cellStyle name="Обычный 5 4 2 3 4" xfId="4686"/>
    <cellStyle name="Обычный 5 4 2 4" xfId="1274"/>
    <cellStyle name="Обычный 5 4 2 4 2" xfId="4687"/>
    <cellStyle name="Обычный 5 4 2 4 2 2" xfId="7103"/>
    <cellStyle name="Обычный 5 4 2 4 3" xfId="4688"/>
    <cellStyle name="Обычный 5 4 2 5" xfId="1275"/>
    <cellStyle name="Обычный 5 4 2 5 2" xfId="4689"/>
    <cellStyle name="Обычный 5 4 2 5 2 2" xfId="7104"/>
    <cellStyle name="Обычный 5 4 2 5 3" xfId="4690"/>
    <cellStyle name="Обычный 5 4 2 6" xfId="1276"/>
    <cellStyle name="Обычный 5 4 2 6 2" xfId="4691"/>
    <cellStyle name="Обычный 5 4 2 6 2 2" xfId="7105"/>
    <cellStyle name="Обычный 5 4 2 6 3" xfId="4692"/>
    <cellStyle name="Обычный 5 4 2 7" xfId="2257"/>
    <cellStyle name="Обычный 5 4 2 7 2" xfId="4693"/>
    <cellStyle name="Обычный 5 4 2 8" xfId="4694"/>
    <cellStyle name="Обычный 5 4 2 9" xfId="7106"/>
    <cellStyle name="Обычный 5 4 2_Расчет скв 3П Яснополянской  БУ румынский  без ВСП от 09082019" xfId="2026"/>
    <cellStyle name="Обычный 5 4 3" xfId="1277"/>
    <cellStyle name="Обычный 5 4 3 2" xfId="1278"/>
    <cellStyle name="Обычный 5 4 3 2 2" xfId="1279"/>
    <cellStyle name="Обычный 5 4 3 2 2 2" xfId="4695"/>
    <cellStyle name="Обычный 5 4 3 2 2 2 2" xfId="7107"/>
    <cellStyle name="Обычный 5 4 3 2 2 3" xfId="4696"/>
    <cellStyle name="Обычный 5 4 3 2 3" xfId="4697"/>
    <cellStyle name="Обычный 5 4 3 2 3 2" xfId="7108"/>
    <cellStyle name="Обычный 5 4 3 2 4" xfId="4698"/>
    <cellStyle name="Обычный 5 4 3 3" xfId="1280"/>
    <cellStyle name="Обычный 5 4 3 3 2" xfId="4699"/>
    <cellStyle name="Обычный 5 4 3 3 2 2" xfId="7109"/>
    <cellStyle name="Обычный 5 4 3 3 3" xfId="4700"/>
    <cellStyle name="Обычный 5 4 3 4" xfId="1281"/>
    <cellStyle name="Обычный 5 4 3 4 2" xfId="4701"/>
    <cellStyle name="Обычный 5 4 3 4 2 2" xfId="7110"/>
    <cellStyle name="Обычный 5 4 3 4 3" xfId="4702"/>
    <cellStyle name="Обычный 5 4 3 5" xfId="1282"/>
    <cellStyle name="Обычный 5 4 3 5 2" xfId="4703"/>
    <cellStyle name="Обычный 5 4 3 5 2 2" xfId="7111"/>
    <cellStyle name="Обычный 5 4 3 5 3" xfId="4704"/>
    <cellStyle name="Обычный 5 4 3 6" xfId="2258"/>
    <cellStyle name="Обычный 5 4 3 6 2" xfId="4705"/>
    <cellStyle name="Обычный 5 4 3 7" xfId="4706"/>
    <cellStyle name="Обычный 5 4 3 8" xfId="7112"/>
    <cellStyle name="Обычный 5 4 4" xfId="1283"/>
    <cellStyle name="Обычный 5 4 4 2" xfId="1284"/>
    <cellStyle name="Обычный 5 4 4 2 2" xfId="1285"/>
    <cellStyle name="Обычный 5 4 4 2 2 2" xfId="4707"/>
    <cellStyle name="Обычный 5 4 4 2 2 2 2" xfId="7113"/>
    <cellStyle name="Обычный 5 4 4 2 2 3" xfId="4708"/>
    <cellStyle name="Обычный 5 4 4 2 3" xfId="4709"/>
    <cellStyle name="Обычный 5 4 4 2 3 2" xfId="7114"/>
    <cellStyle name="Обычный 5 4 4 2 4" xfId="4710"/>
    <cellStyle name="Обычный 5 4 4 3" xfId="1286"/>
    <cellStyle name="Обычный 5 4 4 3 2" xfId="4711"/>
    <cellStyle name="Обычный 5 4 4 3 2 2" xfId="7115"/>
    <cellStyle name="Обычный 5 4 4 3 3" xfId="4712"/>
    <cellStyle name="Обычный 5 4 4 4" xfId="1287"/>
    <cellStyle name="Обычный 5 4 4 4 2" xfId="4713"/>
    <cellStyle name="Обычный 5 4 4 4 2 2" xfId="7116"/>
    <cellStyle name="Обычный 5 4 4 4 3" xfId="4714"/>
    <cellStyle name="Обычный 5 4 4 5" xfId="1288"/>
    <cellStyle name="Обычный 5 4 4 5 2" xfId="4715"/>
    <cellStyle name="Обычный 5 4 4 5 2 2" xfId="7117"/>
    <cellStyle name="Обычный 5 4 4 5 3" xfId="4716"/>
    <cellStyle name="Обычный 5 4 4 6" xfId="2259"/>
    <cellStyle name="Обычный 5 4 4 6 2" xfId="4717"/>
    <cellStyle name="Обычный 5 4 4 7" xfId="4718"/>
    <cellStyle name="Обычный 5 4 4 8" xfId="7118"/>
    <cellStyle name="Обычный 5 4 5" xfId="1289"/>
    <cellStyle name="Обычный 5 4 5 2" xfId="1290"/>
    <cellStyle name="Обычный 5 4 5 2 2" xfId="1291"/>
    <cellStyle name="Обычный 5 4 5 2 2 2" xfId="4719"/>
    <cellStyle name="Обычный 5 4 5 2 2 2 2" xfId="7119"/>
    <cellStyle name="Обычный 5 4 5 2 2 3" xfId="4720"/>
    <cellStyle name="Обычный 5 4 5 2 3" xfId="4721"/>
    <cellStyle name="Обычный 5 4 5 2 3 2" xfId="7120"/>
    <cellStyle name="Обычный 5 4 5 2 4" xfId="4722"/>
    <cellStyle name="Обычный 5 4 5 3" xfId="1292"/>
    <cellStyle name="Обычный 5 4 5 3 2" xfId="4723"/>
    <cellStyle name="Обычный 5 4 5 3 2 2" xfId="7121"/>
    <cellStyle name="Обычный 5 4 5 3 3" xfId="4724"/>
    <cellStyle name="Обычный 5 4 5 4" xfId="1293"/>
    <cellStyle name="Обычный 5 4 5 4 2" xfId="4725"/>
    <cellStyle name="Обычный 5 4 5 4 2 2" xfId="7122"/>
    <cellStyle name="Обычный 5 4 5 4 3" xfId="4726"/>
    <cellStyle name="Обычный 5 4 5 5" xfId="1294"/>
    <cellStyle name="Обычный 5 4 5 5 2" xfId="4727"/>
    <cellStyle name="Обычный 5 4 5 5 2 2" xfId="7123"/>
    <cellStyle name="Обычный 5 4 5 5 3" xfId="4728"/>
    <cellStyle name="Обычный 5 4 5 6" xfId="2260"/>
    <cellStyle name="Обычный 5 4 5 6 2" xfId="4729"/>
    <cellStyle name="Обычный 5 4 5 7" xfId="4730"/>
    <cellStyle name="Обычный 5 4 5 8" xfId="7124"/>
    <cellStyle name="Обычный 5 4 6" xfId="1295"/>
    <cellStyle name="Обычный 5 4 6 2" xfId="1296"/>
    <cellStyle name="Обычный 5 4 6 2 2" xfId="4731"/>
    <cellStyle name="Обычный 5 4 6 2 2 2" xfId="7125"/>
    <cellStyle name="Обычный 5 4 6 2 3" xfId="4732"/>
    <cellStyle name="Обычный 5 4 6 3" xfId="4733"/>
    <cellStyle name="Обычный 5 4 6 3 2" xfId="7126"/>
    <cellStyle name="Обычный 5 4 6 4" xfId="4734"/>
    <cellStyle name="Обычный 5 4 7" xfId="1297"/>
    <cellStyle name="Обычный 5 4 7 2" xfId="4735"/>
    <cellStyle name="Обычный 5 4 7 2 2" xfId="7127"/>
    <cellStyle name="Обычный 5 4 7 3" xfId="4736"/>
    <cellStyle name="Обычный 5 4 8" xfId="1298"/>
    <cellStyle name="Обычный 5 4 8 2" xfId="4737"/>
    <cellStyle name="Обычный 5 4 8 2 2" xfId="7128"/>
    <cellStyle name="Обычный 5 4 8 3" xfId="4738"/>
    <cellStyle name="Обычный 5 4 9" xfId="1299"/>
    <cellStyle name="Обычный 5 4 9 2" xfId="4739"/>
    <cellStyle name="Обычный 5 4 9 2 2" xfId="7129"/>
    <cellStyle name="Обычный 5 4 9 3" xfId="4740"/>
    <cellStyle name="Обычный 5 4_Расчет скв 3П Яснополянской  БУ румынский  без ВСП от 09082019" xfId="2027"/>
    <cellStyle name="Обычный 5 5" xfId="1300"/>
    <cellStyle name="Обычный 5 5 2" xfId="1301"/>
    <cellStyle name="Обычный 5 5 2 2" xfId="1302"/>
    <cellStyle name="Обычный 5 5 2 2 2" xfId="1303"/>
    <cellStyle name="Обычный 5 5 2 2 2 2" xfId="4741"/>
    <cellStyle name="Обычный 5 5 2 2 2 2 2" xfId="7130"/>
    <cellStyle name="Обычный 5 5 2 2 2 3" xfId="4742"/>
    <cellStyle name="Обычный 5 5 2 2 3" xfId="4743"/>
    <cellStyle name="Обычный 5 5 2 2 3 2" xfId="7131"/>
    <cellStyle name="Обычный 5 5 2 2 4" xfId="4744"/>
    <cellStyle name="Обычный 5 5 2 3" xfId="1304"/>
    <cellStyle name="Обычный 5 5 2 3 2" xfId="4745"/>
    <cellStyle name="Обычный 5 5 2 3 2 2" xfId="7132"/>
    <cellStyle name="Обычный 5 5 2 3 3" xfId="4746"/>
    <cellStyle name="Обычный 5 5 2 4" xfId="1305"/>
    <cellStyle name="Обычный 5 5 2 4 2" xfId="4747"/>
    <cellStyle name="Обычный 5 5 2 4 2 2" xfId="7133"/>
    <cellStyle name="Обычный 5 5 2 4 3" xfId="4748"/>
    <cellStyle name="Обычный 5 5 2 5" xfId="1306"/>
    <cellStyle name="Обычный 5 5 2 5 2" xfId="4749"/>
    <cellStyle name="Обычный 5 5 2 5 2 2" xfId="7134"/>
    <cellStyle name="Обычный 5 5 2 5 3" xfId="4750"/>
    <cellStyle name="Обычный 5 5 2 6" xfId="2261"/>
    <cellStyle name="Обычный 5 5 2 6 2" xfId="4751"/>
    <cellStyle name="Обычный 5 5 2 7" xfId="4752"/>
    <cellStyle name="Обычный 5 5 2 8" xfId="7135"/>
    <cellStyle name="Обычный 5 5 3" xfId="1307"/>
    <cellStyle name="Обычный 5 5 3 2" xfId="1308"/>
    <cellStyle name="Обычный 5 5 3 2 2" xfId="4753"/>
    <cellStyle name="Обычный 5 5 3 2 2 2" xfId="7136"/>
    <cellStyle name="Обычный 5 5 3 2 3" xfId="4754"/>
    <cellStyle name="Обычный 5 5 3 3" xfId="4755"/>
    <cellStyle name="Обычный 5 5 3 3 2" xfId="7137"/>
    <cellStyle name="Обычный 5 5 3 4" xfId="4756"/>
    <cellStyle name="Обычный 5 5 4" xfId="1309"/>
    <cellStyle name="Обычный 5 5 4 2" xfId="4757"/>
    <cellStyle name="Обычный 5 5 4 2 2" xfId="7138"/>
    <cellStyle name="Обычный 5 5 4 3" xfId="4758"/>
    <cellStyle name="Обычный 5 5 5" xfId="1310"/>
    <cellStyle name="Обычный 5 5 5 2" xfId="4759"/>
    <cellStyle name="Обычный 5 5 5 2 2" xfId="7139"/>
    <cellStyle name="Обычный 5 5 5 3" xfId="4760"/>
    <cellStyle name="Обычный 5 5 6" xfId="1311"/>
    <cellStyle name="Обычный 5 5 6 2" xfId="4761"/>
    <cellStyle name="Обычный 5 5 6 2 2" xfId="7140"/>
    <cellStyle name="Обычный 5 5 6 3" xfId="4762"/>
    <cellStyle name="Обычный 5 5 7" xfId="2262"/>
    <cellStyle name="Обычный 5 5 7 2" xfId="4763"/>
    <cellStyle name="Обычный 5 5 8" xfId="4764"/>
    <cellStyle name="Обычный 5 5 9" xfId="7141"/>
    <cellStyle name="Обычный 5 5_Расчет скв 3П Яснополянской  БУ румынский  без ВСП от 09082019" xfId="2028"/>
    <cellStyle name="Обычный 5 6" xfId="1312"/>
    <cellStyle name="Обычный 5 6 2" xfId="1313"/>
    <cellStyle name="Обычный 5 6 2 2" xfId="1314"/>
    <cellStyle name="Обычный 5 6 2 2 2" xfId="4765"/>
    <cellStyle name="Обычный 5 6 2 2 2 2" xfId="7142"/>
    <cellStyle name="Обычный 5 6 2 2 3" xfId="4766"/>
    <cellStyle name="Обычный 5 6 2 3" xfId="4767"/>
    <cellStyle name="Обычный 5 6 2 3 2" xfId="7143"/>
    <cellStyle name="Обычный 5 6 2 4" xfId="4768"/>
    <cellStyle name="Обычный 5 6 3" xfId="1315"/>
    <cellStyle name="Обычный 5 6 3 2" xfId="4769"/>
    <cellStyle name="Обычный 5 6 3 2 2" xfId="7144"/>
    <cellStyle name="Обычный 5 6 3 3" xfId="4770"/>
    <cellStyle name="Обычный 5 6 4" xfId="1316"/>
    <cellStyle name="Обычный 5 6 4 2" xfId="4771"/>
    <cellStyle name="Обычный 5 6 4 2 2" xfId="7145"/>
    <cellStyle name="Обычный 5 6 4 3" xfId="4772"/>
    <cellStyle name="Обычный 5 6 5" xfId="1317"/>
    <cellStyle name="Обычный 5 6 5 2" xfId="4773"/>
    <cellStyle name="Обычный 5 6 5 2 2" xfId="7146"/>
    <cellStyle name="Обычный 5 6 5 3" xfId="4774"/>
    <cellStyle name="Обычный 5 6 6" xfId="2263"/>
    <cellStyle name="Обычный 5 6 6 2" xfId="4775"/>
    <cellStyle name="Обычный 5 6 7" xfId="4776"/>
    <cellStyle name="Обычный 5 6 8" xfId="7147"/>
    <cellStyle name="Обычный 5 7" xfId="1318"/>
    <cellStyle name="Обычный 5 7 2" xfId="1319"/>
    <cellStyle name="Обычный 5 7 2 2" xfId="1320"/>
    <cellStyle name="Обычный 5 7 2 2 2" xfId="4777"/>
    <cellStyle name="Обычный 5 7 2 2 2 2" xfId="7148"/>
    <cellStyle name="Обычный 5 7 2 2 3" xfId="4778"/>
    <cellStyle name="Обычный 5 7 2 3" xfId="4779"/>
    <cellStyle name="Обычный 5 7 2 3 2" xfId="7149"/>
    <cellStyle name="Обычный 5 7 2 4" xfId="4780"/>
    <cellStyle name="Обычный 5 7 3" xfId="1321"/>
    <cellStyle name="Обычный 5 7 3 2" xfId="4781"/>
    <cellStyle name="Обычный 5 7 3 2 2" xfId="7150"/>
    <cellStyle name="Обычный 5 7 3 3" xfId="4782"/>
    <cellStyle name="Обычный 5 7 4" xfId="1322"/>
    <cellStyle name="Обычный 5 7 4 2" xfId="4783"/>
    <cellStyle name="Обычный 5 7 4 2 2" xfId="7151"/>
    <cellStyle name="Обычный 5 7 4 3" xfId="4784"/>
    <cellStyle name="Обычный 5 7 5" xfId="1323"/>
    <cellStyle name="Обычный 5 7 5 2" xfId="4785"/>
    <cellStyle name="Обычный 5 7 5 2 2" xfId="7152"/>
    <cellStyle name="Обычный 5 7 5 3" xfId="4786"/>
    <cellStyle name="Обычный 5 7 6" xfId="2264"/>
    <cellStyle name="Обычный 5 7 6 2" xfId="4787"/>
    <cellStyle name="Обычный 5 7 7" xfId="4788"/>
    <cellStyle name="Обычный 5 7 8" xfId="7153"/>
    <cellStyle name="Обычный 5 8" xfId="1324"/>
    <cellStyle name="Обычный 5 8 2" xfId="1325"/>
    <cellStyle name="Обычный 5 8 2 2" xfId="1326"/>
    <cellStyle name="Обычный 5 8 2 2 2" xfId="4789"/>
    <cellStyle name="Обычный 5 8 2 2 2 2" xfId="7154"/>
    <cellStyle name="Обычный 5 8 2 2 3" xfId="4790"/>
    <cellStyle name="Обычный 5 8 2 3" xfId="4791"/>
    <cellStyle name="Обычный 5 8 2 3 2" xfId="7155"/>
    <cellStyle name="Обычный 5 8 2 4" xfId="4792"/>
    <cellStyle name="Обычный 5 8 3" xfId="1327"/>
    <cellStyle name="Обычный 5 8 3 2" xfId="4793"/>
    <cellStyle name="Обычный 5 8 3 2 2" xfId="7156"/>
    <cellStyle name="Обычный 5 8 3 3" xfId="4794"/>
    <cellStyle name="Обычный 5 8 4" xfId="1328"/>
    <cellStyle name="Обычный 5 8 4 2" xfId="4795"/>
    <cellStyle name="Обычный 5 8 4 2 2" xfId="7157"/>
    <cellStyle name="Обычный 5 8 4 3" xfId="4796"/>
    <cellStyle name="Обычный 5 8 5" xfId="1329"/>
    <cellStyle name="Обычный 5 8 5 2" xfId="4797"/>
    <cellStyle name="Обычный 5 8 5 2 2" xfId="7158"/>
    <cellStyle name="Обычный 5 8 5 3" xfId="4798"/>
    <cellStyle name="Обычный 5 8 6" xfId="2265"/>
    <cellStyle name="Обычный 5 8 6 2" xfId="4799"/>
    <cellStyle name="Обычный 5 8 7" xfId="4800"/>
    <cellStyle name="Обычный 5 8 8" xfId="7159"/>
    <cellStyle name="Обычный 5 9" xfId="1330"/>
    <cellStyle name="Обычный 5 9 2" xfId="1331"/>
    <cellStyle name="Обычный 5 9 2 2" xfId="4801"/>
    <cellStyle name="Обычный 5 9 2 2 2" xfId="7160"/>
    <cellStyle name="Обычный 5 9 2 3" xfId="4802"/>
    <cellStyle name="Обычный 5 9 3" xfId="4803"/>
    <cellStyle name="Обычный 5 9 3 2" xfId="7161"/>
    <cellStyle name="Обычный 5 9 4" xfId="4804"/>
    <cellStyle name="Обычный 5_Расчет скв 3П ЯП ЛУ  БУ румын  без ВСП  337" xfId="2029"/>
    <cellStyle name="Обычный 6" xfId="1332"/>
    <cellStyle name="Обычный 6 10" xfId="1333"/>
    <cellStyle name="Обычный 6 10 2" xfId="4805"/>
    <cellStyle name="Обычный 6 10 2 2" xfId="7162"/>
    <cellStyle name="Обычный 6 10 3" xfId="4806"/>
    <cellStyle name="Обычный 6 11" xfId="1334"/>
    <cellStyle name="Обычный 6 11 2" xfId="4807"/>
    <cellStyle name="Обычный 6 11 2 2" xfId="7163"/>
    <cellStyle name="Обычный 6 11 3" xfId="4808"/>
    <cellStyle name="Обычный 6 12" xfId="1335"/>
    <cellStyle name="Обычный 6 12 2" xfId="4809"/>
    <cellStyle name="Обычный 6 12 2 2" xfId="7164"/>
    <cellStyle name="Обычный 6 12 3" xfId="4810"/>
    <cellStyle name="Обычный 6 13" xfId="2266"/>
    <cellStyle name="Обычный 6 13 2" xfId="4811"/>
    <cellStyle name="Обычный 6 14" xfId="4812"/>
    <cellStyle name="Обычный 6 15" xfId="4813"/>
    <cellStyle name="Обычный 6 2" xfId="1336"/>
    <cellStyle name="Обычный 6 2 10" xfId="2267"/>
    <cellStyle name="Обычный 6 2 10 2" xfId="4814"/>
    <cellStyle name="Обычный 6 2 11" xfId="4815"/>
    <cellStyle name="Обычный 6 2 12" xfId="7165"/>
    <cellStyle name="Обычный 6 2 2" xfId="1337"/>
    <cellStyle name="Обычный 6 2 2 2" xfId="1338"/>
    <cellStyle name="Обычный 6 2 2 2 2" xfId="1339"/>
    <cellStyle name="Обычный 6 2 2 2 2 2" xfId="1340"/>
    <cellStyle name="Обычный 6 2 2 2 2 2 2" xfId="4816"/>
    <cellStyle name="Обычный 6 2 2 2 2 2 2 2" xfId="7166"/>
    <cellStyle name="Обычный 6 2 2 2 2 2 3" xfId="4817"/>
    <cellStyle name="Обычный 6 2 2 2 2 3" xfId="4818"/>
    <cellStyle name="Обычный 6 2 2 2 2 3 2" xfId="7167"/>
    <cellStyle name="Обычный 6 2 2 2 2 4" xfId="4819"/>
    <cellStyle name="Обычный 6 2 2 2 3" xfId="1341"/>
    <cellStyle name="Обычный 6 2 2 2 3 2" xfId="4820"/>
    <cellStyle name="Обычный 6 2 2 2 3 2 2" xfId="7168"/>
    <cellStyle name="Обычный 6 2 2 2 3 3" xfId="4821"/>
    <cellStyle name="Обычный 6 2 2 2 4" xfId="1342"/>
    <cellStyle name="Обычный 6 2 2 2 4 2" xfId="4822"/>
    <cellStyle name="Обычный 6 2 2 2 4 2 2" xfId="7169"/>
    <cellStyle name="Обычный 6 2 2 2 4 3" xfId="4823"/>
    <cellStyle name="Обычный 6 2 2 2 5" xfId="1343"/>
    <cellStyle name="Обычный 6 2 2 2 5 2" xfId="4824"/>
    <cellStyle name="Обычный 6 2 2 2 5 2 2" xfId="7170"/>
    <cellStyle name="Обычный 6 2 2 2 5 3" xfId="4825"/>
    <cellStyle name="Обычный 6 2 2 2 6" xfId="2268"/>
    <cellStyle name="Обычный 6 2 2 2 6 2" xfId="4826"/>
    <cellStyle name="Обычный 6 2 2 2 7" xfId="4827"/>
    <cellStyle name="Обычный 6 2 2 2 8" xfId="7171"/>
    <cellStyle name="Обычный 6 2 2 3" xfId="1344"/>
    <cellStyle name="Обычный 6 2 2 3 2" xfId="1345"/>
    <cellStyle name="Обычный 6 2 2 3 2 2" xfId="4828"/>
    <cellStyle name="Обычный 6 2 2 3 2 2 2" xfId="7172"/>
    <cellStyle name="Обычный 6 2 2 3 2 3" xfId="4829"/>
    <cellStyle name="Обычный 6 2 2 3 3" xfId="4830"/>
    <cellStyle name="Обычный 6 2 2 3 3 2" xfId="7173"/>
    <cellStyle name="Обычный 6 2 2 3 4" xfId="4831"/>
    <cellStyle name="Обычный 6 2 2 4" xfId="1346"/>
    <cellStyle name="Обычный 6 2 2 4 2" xfId="4832"/>
    <cellStyle name="Обычный 6 2 2 4 2 2" xfId="7174"/>
    <cellStyle name="Обычный 6 2 2 4 3" xfId="4833"/>
    <cellStyle name="Обычный 6 2 2 5" xfId="1347"/>
    <cellStyle name="Обычный 6 2 2 5 2" xfId="4834"/>
    <cellStyle name="Обычный 6 2 2 5 2 2" xfId="7175"/>
    <cellStyle name="Обычный 6 2 2 5 3" xfId="4835"/>
    <cellStyle name="Обычный 6 2 2 6" xfId="1348"/>
    <cellStyle name="Обычный 6 2 2 6 2" xfId="4836"/>
    <cellStyle name="Обычный 6 2 2 6 2 2" xfId="7176"/>
    <cellStyle name="Обычный 6 2 2 6 3" xfId="4837"/>
    <cellStyle name="Обычный 6 2 2 7" xfId="2269"/>
    <cellStyle name="Обычный 6 2 2 7 2" xfId="4838"/>
    <cellStyle name="Обычный 6 2 2 8" xfId="4839"/>
    <cellStyle name="Обычный 6 2 2 9" xfId="7177"/>
    <cellStyle name="Обычный 6 2 2_Расчет скв 3П Яснополянской  БУ румынский  без ВСП от 09082019" xfId="2030"/>
    <cellStyle name="Обычный 6 2 3" xfId="1349"/>
    <cellStyle name="Обычный 6 2 3 2" xfId="1350"/>
    <cellStyle name="Обычный 6 2 3 2 2" xfId="1351"/>
    <cellStyle name="Обычный 6 2 3 2 2 2" xfId="4840"/>
    <cellStyle name="Обычный 6 2 3 2 2 2 2" xfId="7178"/>
    <cellStyle name="Обычный 6 2 3 2 2 3" xfId="4841"/>
    <cellStyle name="Обычный 6 2 3 2 3" xfId="4842"/>
    <cellStyle name="Обычный 6 2 3 2 3 2" xfId="7179"/>
    <cellStyle name="Обычный 6 2 3 2 4" xfId="4843"/>
    <cellStyle name="Обычный 6 2 3 3" xfId="1352"/>
    <cellStyle name="Обычный 6 2 3 3 2" xfId="4844"/>
    <cellStyle name="Обычный 6 2 3 3 2 2" xfId="7180"/>
    <cellStyle name="Обычный 6 2 3 3 3" xfId="4845"/>
    <cellStyle name="Обычный 6 2 3 4" xfId="1353"/>
    <cellStyle name="Обычный 6 2 3 4 2" xfId="4846"/>
    <cellStyle name="Обычный 6 2 3 4 2 2" xfId="7181"/>
    <cellStyle name="Обычный 6 2 3 4 3" xfId="4847"/>
    <cellStyle name="Обычный 6 2 3 5" xfId="1354"/>
    <cellStyle name="Обычный 6 2 3 5 2" xfId="4848"/>
    <cellStyle name="Обычный 6 2 3 5 2 2" xfId="7182"/>
    <cellStyle name="Обычный 6 2 3 5 3" xfId="4849"/>
    <cellStyle name="Обычный 6 2 3 6" xfId="2270"/>
    <cellStyle name="Обычный 6 2 3 6 2" xfId="4850"/>
    <cellStyle name="Обычный 6 2 3 7" xfId="4851"/>
    <cellStyle name="Обычный 6 2 3 8" xfId="7183"/>
    <cellStyle name="Обычный 6 2 4" xfId="1355"/>
    <cellStyle name="Обычный 6 2 4 2" xfId="1356"/>
    <cellStyle name="Обычный 6 2 4 2 2" xfId="1357"/>
    <cellStyle name="Обычный 6 2 4 2 2 2" xfId="4852"/>
    <cellStyle name="Обычный 6 2 4 2 2 2 2" xfId="7184"/>
    <cellStyle name="Обычный 6 2 4 2 2 3" xfId="4853"/>
    <cellStyle name="Обычный 6 2 4 2 3" xfId="4854"/>
    <cellStyle name="Обычный 6 2 4 2 3 2" xfId="7185"/>
    <cellStyle name="Обычный 6 2 4 2 4" xfId="4855"/>
    <cellStyle name="Обычный 6 2 4 3" xfId="1358"/>
    <cellStyle name="Обычный 6 2 4 3 2" xfId="4856"/>
    <cellStyle name="Обычный 6 2 4 3 2 2" xfId="7186"/>
    <cellStyle name="Обычный 6 2 4 3 3" xfId="4857"/>
    <cellStyle name="Обычный 6 2 4 4" xfId="1359"/>
    <cellStyle name="Обычный 6 2 4 4 2" xfId="4858"/>
    <cellStyle name="Обычный 6 2 4 4 2 2" xfId="7187"/>
    <cellStyle name="Обычный 6 2 4 4 3" xfId="4859"/>
    <cellStyle name="Обычный 6 2 4 5" xfId="1360"/>
    <cellStyle name="Обычный 6 2 4 5 2" xfId="4860"/>
    <cellStyle name="Обычный 6 2 4 5 2 2" xfId="7188"/>
    <cellStyle name="Обычный 6 2 4 5 3" xfId="4861"/>
    <cellStyle name="Обычный 6 2 4 6" xfId="2271"/>
    <cellStyle name="Обычный 6 2 4 6 2" xfId="4862"/>
    <cellStyle name="Обычный 6 2 4 7" xfId="4863"/>
    <cellStyle name="Обычный 6 2 4 8" xfId="7189"/>
    <cellStyle name="Обычный 6 2 5" xfId="1361"/>
    <cellStyle name="Обычный 6 2 5 2" xfId="1362"/>
    <cellStyle name="Обычный 6 2 5 2 2" xfId="1363"/>
    <cellStyle name="Обычный 6 2 5 2 2 2" xfId="4864"/>
    <cellStyle name="Обычный 6 2 5 2 2 2 2" xfId="7190"/>
    <cellStyle name="Обычный 6 2 5 2 2 3" xfId="4865"/>
    <cellStyle name="Обычный 6 2 5 2 3" xfId="4866"/>
    <cellStyle name="Обычный 6 2 5 2 3 2" xfId="7191"/>
    <cellStyle name="Обычный 6 2 5 2 4" xfId="4867"/>
    <cellStyle name="Обычный 6 2 5 3" xfId="1364"/>
    <cellStyle name="Обычный 6 2 5 3 2" xfId="4868"/>
    <cellStyle name="Обычный 6 2 5 3 2 2" xfId="7192"/>
    <cellStyle name="Обычный 6 2 5 3 3" xfId="4869"/>
    <cellStyle name="Обычный 6 2 5 4" xfId="1365"/>
    <cellStyle name="Обычный 6 2 5 4 2" xfId="4870"/>
    <cellStyle name="Обычный 6 2 5 4 2 2" xfId="7193"/>
    <cellStyle name="Обычный 6 2 5 4 3" xfId="4871"/>
    <cellStyle name="Обычный 6 2 5 5" xfId="1366"/>
    <cellStyle name="Обычный 6 2 5 5 2" xfId="4872"/>
    <cellStyle name="Обычный 6 2 5 5 2 2" xfId="7194"/>
    <cellStyle name="Обычный 6 2 5 5 3" xfId="4873"/>
    <cellStyle name="Обычный 6 2 5 6" xfId="2272"/>
    <cellStyle name="Обычный 6 2 5 6 2" xfId="4874"/>
    <cellStyle name="Обычный 6 2 5 7" xfId="4875"/>
    <cellStyle name="Обычный 6 2 5 8" xfId="7195"/>
    <cellStyle name="Обычный 6 2 6" xfId="1367"/>
    <cellStyle name="Обычный 6 2 6 2" xfId="1368"/>
    <cellStyle name="Обычный 6 2 6 2 2" xfId="4876"/>
    <cellStyle name="Обычный 6 2 6 2 2 2" xfId="7196"/>
    <cellStyle name="Обычный 6 2 6 2 3" xfId="4877"/>
    <cellStyle name="Обычный 6 2 6 3" xfId="4878"/>
    <cellStyle name="Обычный 6 2 6 3 2" xfId="7197"/>
    <cellStyle name="Обычный 6 2 6 4" xfId="4879"/>
    <cellStyle name="Обычный 6 2 7" xfId="1369"/>
    <cellStyle name="Обычный 6 2 7 2" xfId="4880"/>
    <cellStyle name="Обычный 6 2 7 2 2" xfId="7198"/>
    <cellStyle name="Обычный 6 2 7 3" xfId="4881"/>
    <cellStyle name="Обычный 6 2 8" xfId="1370"/>
    <cellStyle name="Обычный 6 2 8 2" xfId="4882"/>
    <cellStyle name="Обычный 6 2 8 2 2" xfId="7199"/>
    <cellStyle name="Обычный 6 2 8 3" xfId="4883"/>
    <cellStyle name="Обычный 6 2 9" xfId="1371"/>
    <cellStyle name="Обычный 6 2 9 2" xfId="4884"/>
    <cellStyle name="Обычный 6 2 9 2 2" xfId="7200"/>
    <cellStyle name="Обычный 6 2 9 3" xfId="4885"/>
    <cellStyle name="Обычный 6 2_Расчет скв 3П Яснополянской  БУ румынский  без ВСП от 09082019" xfId="2031"/>
    <cellStyle name="Обычный 6 3" xfId="1372"/>
    <cellStyle name="Обычный 6 3 10" xfId="2273"/>
    <cellStyle name="Обычный 6 3 10 2" xfId="4886"/>
    <cellStyle name="Обычный 6 3 11" xfId="4887"/>
    <cellStyle name="Обычный 6 3 12" xfId="7201"/>
    <cellStyle name="Обычный 6 3 2" xfId="1373"/>
    <cellStyle name="Обычный 6 3 2 2" xfId="1374"/>
    <cellStyle name="Обычный 6 3 2 2 2" xfId="1375"/>
    <cellStyle name="Обычный 6 3 2 2 2 2" xfId="1376"/>
    <cellStyle name="Обычный 6 3 2 2 2 2 2" xfId="4888"/>
    <cellStyle name="Обычный 6 3 2 2 2 2 2 2" xfId="7202"/>
    <cellStyle name="Обычный 6 3 2 2 2 2 3" xfId="4889"/>
    <cellStyle name="Обычный 6 3 2 2 2 3" xfId="4890"/>
    <cellStyle name="Обычный 6 3 2 2 2 3 2" xfId="7203"/>
    <cellStyle name="Обычный 6 3 2 2 2 4" xfId="4891"/>
    <cellStyle name="Обычный 6 3 2 2 3" xfId="1377"/>
    <cellStyle name="Обычный 6 3 2 2 3 2" xfId="4892"/>
    <cellStyle name="Обычный 6 3 2 2 3 2 2" xfId="7204"/>
    <cellStyle name="Обычный 6 3 2 2 3 3" xfId="4893"/>
    <cellStyle name="Обычный 6 3 2 2 4" xfId="1378"/>
    <cellStyle name="Обычный 6 3 2 2 4 2" xfId="4894"/>
    <cellStyle name="Обычный 6 3 2 2 4 2 2" xfId="7205"/>
    <cellStyle name="Обычный 6 3 2 2 4 3" xfId="4895"/>
    <cellStyle name="Обычный 6 3 2 2 5" xfId="1379"/>
    <cellStyle name="Обычный 6 3 2 2 5 2" xfId="4896"/>
    <cellStyle name="Обычный 6 3 2 2 5 2 2" xfId="7206"/>
    <cellStyle name="Обычный 6 3 2 2 5 3" xfId="4897"/>
    <cellStyle name="Обычный 6 3 2 2 6" xfId="2274"/>
    <cellStyle name="Обычный 6 3 2 2 6 2" xfId="4898"/>
    <cellStyle name="Обычный 6 3 2 2 7" xfId="4899"/>
    <cellStyle name="Обычный 6 3 2 2 8" xfId="7207"/>
    <cellStyle name="Обычный 6 3 2 3" xfId="1380"/>
    <cellStyle name="Обычный 6 3 2 3 2" xfId="1381"/>
    <cellStyle name="Обычный 6 3 2 3 2 2" xfId="4900"/>
    <cellStyle name="Обычный 6 3 2 3 2 2 2" xfId="7208"/>
    <cellStyle name="Обычный 6 3 2 3 2 3" xfId="4901"/>
    <cellStyle name="Обычный 6 3 2 3 3" xfId="4902"/>
    <cellStyle name="Обычный 6 3 2 3 3 2" xfId="7209"/>
    <cellStyle name="Обычный 6 3 2 3 4" xfId="4903"/>
    <cellStyle name="Обычный 6 3 2 4" xfId="1382"/>
    <cellStyle name="Обычный 6 3 2 4 2" xfId="4904"/>
    <cellStyle name="Обычный 6 3 2 4 2 2" xfId="7210"/>
    <cellStyle name="Обычный 6 3 2 4 3" xfId="4905"/>
    <cellStyle name="Обычный 6 3 2 5" xfId="1383"/>
    <cellStyle name="Обычный 6 3 2 5 2" xfId="4906"/>
    <cellStyle name="Обычный 6 3 2 5 2 2" xfId="7211"/>
    <cellStyle name="Обычный 6 3 2 5 3" xfId="4907"/>
    <cellStyle name="Обычный 6 3 2 6" xfId="1384"/>
    <cellStyle name="Обычный 6 3 2 6 2" xfId="4908"/>
    <cellStyle name="Обычный 6 3 2 6 2 2" xfId="7212"/>
    <cellStyle name="Обычный 6 3 2 6 3" xfId="4909"/>
    <cellStyle name="Обычный 6 3 2 7" xfId="2275"/>
    <cellStyle name="Обычный 6 3 2 7 2" xfId="4910"/>
    <cellStyle name="Обычный 6 3 2 8" xfId="4911"/>
    <cellStyle name="Обычный 6 3 2 9" xfId="7213"/>
    <cellStyle name="Обычный 6 3 2_Расчет скв 3П Яснополянской  БУ румынский  без ВСП от 09082019" xfId="2032"/>
    <cellStyle name="Обычный 6 3 3" xfId="1385"/>
    <cellStyle name="Обычный 6 3 3 2" xfId="1386"/>
    <cellStyle name="Обычный 6 3 3 2 2" xfId="1387"/>
    <cellStyle name="Обычный 6 3 3 2 2 2" xfId="4912"/>
    <cellStyle name="Обычный 6 3 3 2 2 2 2" xfId="7214"/>
    <cellStyle name="Обычный 6 3 3 2 2 3" xfId="4913"/>
    <cellStyle name="Обычный 6 3 3 2 3" xfId="4914"/>
    <cellStyle name="Обычный 6 3 3 2 3 2" xfId="7215"/>
    <cellStyle name="Обычный 6 3 3 2 4" xfId="4915"/>
    <cellStyle name="Обычный 6 3 3 3" xfId="1388"/>
    <cellStyle name="Обычный 6 3 3 3 2" xfId="4916"/>
    <cellStyle name="Обычный 6 3 3 3 2 2" xfId="7216"/>
    <cellStyle name="Обычный 6 3 3 3 3" xfId="4917"/>
    <cellStyle name="Обычный 6 3 3 4" xfId="1389"/>
    <cellStyle name="Обычный 6 3 3 4 2" xfId="4918"/>
    <cellStyle name="Обычный 6 3 3 4 2 2" xfId="7217"/>
    <cellStyle name="Обычный 6 3 3 4 3" xfId="4919"/>
    <cellStyle name="Обычный 6 3 3 5" xfId="1390"/>
    <cellStyle name="Обычный 6 3 3 5 2" xfId="4920"/>
    <cellStyle name="Обычный 6 3 3 5 2 2" xfId="7218"/>
    <cellStyle name="Обычный 6 3 3 5 3" xfId="4921"/>
    <cellStyle name="Обычный 6 3 3 6" xfId="2276"/>
    <cellStyle name="Обычный 6 3 3 6 2" xfId="4922"/>
    <cellStyle name="Обычный 6 3 3 7" xfId="4923"/>
    <cellStyle name="Обычный 6 3 3 8" xfId="7219"/>
    <cellStyle name="Обычный 6 3 4" xfId="1391"/>
    <cellStyle name="Обычный 6 3 4 2" xfId="1392"/>
    <cellStyle name="Обычный 6 3 4 2 2" xfId="1393"/>
    <cellStyle name="Обычный 6 3 4 2 2 2" xfId="4924"/>
    <cellStyle name="Обычный 6 3 4 2 2 2 2" xfId="7220"/>
    <cellStyle name="Обычный 6 3 4 2 2 3" xfId="4925"/>
    <cellStyle name="Обычный 6 3 4 2 3" xfId="4926"/>
    <cellStyle name="Обычный 6 3 4 2 3 2" xfId="7221"/>
    <cellStyle name="Обычный 6 3 4 2 4" xfId="4927"/>
    <cellStyle name="Обычный 6 3 4 3" xfId="1394"/>
    <cellStyle name="Обычный 6 3 4 3 2" xfId="4928"/>
    <cellStyle name="Обычный 6 3 4 3 2 2" xfId="7222"/>
    <cellStyle name="Обычный 6 3 4 3 3" xfId="4929"/>
    <cellStyle name="Обычный 6 3 4 4" xfId="1395"/>
    <cellStyle name="Обычный 6 3 4 4 2" xfId="4930"/>
    <cellStyle name="Обычный 6 3 4 4 2 2" xfId="7223"/>
    <cellStyle name="Обычный 6 3 4 4 3" xfId="4931"/>
    <cellStyle name="Обычный 6 3 4 5" xfId="1396"/>
    <cellStyle name="Обычный 6 3 4 5 2" xfId="4932"/>
    <cellStyle name="Обычный 6 3 4 5 2 2" xfId="7224"/>
    <cellStyle name="Обычный 6 3 4 5 3" xfId="4933"/>
    <cellStyle name="Обычный 6 3 4 6" xfId="2277"/>
    <cellStyle name="Обычный 6 3 4 6 2" xfId="4934"/>
    <cellStyle name="Обычный 6 3 4 7" xfId="4935"/>
    <cellStyle name="Обычный 6 3 4 8" xfId="7225"/>
    <cellStyle name="Обычный 6 3 5" xfId="1397"/>
    <cellStyle name="Обычный 6 3 5 2" xfId="1398"/>
    <cellStyle name="Обычный 6 3 5 2 2" xfId="1399"/>
    <cellStyle name="Обычный 6 3 5 2 2 2" xfId="4936"/>
    <cellStyle name="Обычный 6 3 5 2 2 2 2" xfId="7226"/>
    <cellStyle name="Обычный 6 3 5 2 2 3" xfId="4937"/>
    <cellStyle name="Обычный 6 3 5 2 3" xfId="4938"/>
    <cellStyle name="Обычный 6 3 5 2 3 2" xfId="7227"/>
    <cellStyle name="Обычный 6 3 5 2 4" xfId="4939"/>
    <cellStyle name="Обычный 6 3 5 3" xfId="1400"/>
    <cellStyle name="Обычный 6 3 5 3 2" xfId="4940"/>
    <cellStyle name="Обычный 6 3 5 3 2 2" xfId="7228"/>
    <cellStyle name="Обычный 6 3 5 3 3" xfId="4941"/>
    <cellStyle name="Обычный 6 3 5 4" xfId="1401"/>
    <cellStyle name="Обычный 6 3 5 4 2" xfId="4942"/>
    <cellStyle name="Обычный 6 3 5 4 2 2" xfId="7229"/>
    <cellStyle name="Обычный 6 3 5 4 3" xfId="4943"/>
    <cellStyle name="Обычный 6 3 5 5" xfId="1402"/>
    <cellStyle name="Обычный 6 3 5 5 2" xfId="4944"/>
    <cellStyle name="Обычный 6 3 5 5 2 2" xfId="7230"/>
    <cellStyle name="Обычный 6 3 5 5 3" xfId="4945"/>
    <cellStyle name="Обычный 6 3 5 6" xfId="2278"/>
    <cellStyle name="Обычный 6 3 5 6 2" xfId="4946"/>
    <cellStyle name="Обычный 6 3 5 7" xfId="4947"/>
    <cellStyle name="Обычный 6 3 5 8" xfId="7231"/>
    <cellStyle name="Обычный 6 3 6" xfId="1403"/>
    <cellStyle name="Обычный 6 3 6 2" xfId="1404"/>
    <cellStyle name="Обычный 6 3 6 2 2" xfId="4948"/>
    <cellStyle name="Обычный 6 3 6 2 2 2" xfId="7232"/>
    <cellStyle name="Обычный 6 3 6 2 3" xfId="4949"/>
    <cellStyle name="Обычный 6 3 6 3" xfId="4950"/>
    <cellStyle name="Обычный 6 3 6 3 2" xfId="7233"/>
    <cellStyle name="Обычный 6 3 6 4" xfId="4951"/>
    <cellStyle name="Обычный 6 3 7" xfId="1405"/>
    <cellStyle name="Обычный 6 3 7 2" xfId="4952"/>
    <cellStyle name="Обычный 6 3 7 2 2" xfId="7234"/>
    <cellStyle name="Обычный 6 3 7 3" xfId="4953"/>
    <cellStyle name="Обычный 6 3 8" xfId="1406"/>
    <cellStyle name="Обычный 6 3 8 2" xfId="4954"/>
    <cellStyle name="Обычный 6 3 8 2 2" xfId="7235"/>
    <cellStyle name="Обычный 6 3 8 3" xfId="4955"/>
    <cellStyle name="Обычный 6 3 9" xfId="1407"/>
    <cellStyle name="Обычный 6 3 9 2" xfId="4956"/>
    <cellStyle name="Обычный 6 3 9 2 2" xfId="7236"/>
    <cellStyle name="Обычный 6 3 9 3" xfId="4957"/>
    <cellStyle name="Обычный 6 3_Расчет скв 3П Яснополянской  БУ румынский  без ВСП от 09082019" xfId="2033"/>
    <cellStyle name="Обычный 6 4" xfId="1408"/>
    <cellStyle name="Обычный 6 4 10" xfId="2279"/>
    <cellStyle name="Обычный 6 4 10 2" xfId="4958"/>
    <cellStyle name="Обычный 6 4 11" xfId="4959"/>
    <cellStyle name="Обычный 6 4 12" xfId="7237"/>
    <cellStyle name="Обычный 6 4 2" xfId="1409"/>
    <cellStyle name="Обычный 6 4 2 2" xfId="1410"/>
    <cellStyle name="Обычный 6 4 2 2 2" xfId="1411"/>
    <cellStyle name="Обычный 6 4 2 2 2 2" xfId="1412"/>
    <cellStyle name="Обычный 6 4 2 2 2 2 2" xfId="4960"/>
    <cellStyle name="Обычный 6 4 2 2 2 2 2 2" xfId="7238"/>
    <cellStyle name="Обычный 6 4 2 2 2 2 3" xfId="4961"/>
    <cellStyle name="Обычный 6 4 2 2 2 3" xfId="4962"/>
    <cellStyle name="Обычный 6 4 2 2 2 3 2" xfId="7239"/>
    <cellStyle name="Обычный 6 4 2 2 2 4" xfId="4963"/>
    <cellStyle name="Обычный 6 4 2 2 3" xfId="1413"/>
    <cellStyle name="Обычный 6 4 2 2 3 2" xfId="4964"/>
    <cellStyle name="Обычный 6 4 2 2 3 2 2" xfId="7240"/>
    <cellStyle name="Обычный 6 4 2 2 3 3" xfId="4965"/>
    <cellStyle name="Обычный 6 4 2 2 4" xfId="1414"/>
    <cellStyle name="Обычный 6 4 2 2 4 2" xfId="4966"/>
    <cellStyle name="Обычный 6 4 2 2 4 2 2" xfId="7241"/>
    <cellStyle name="Обычный 6 4 2 2 4 3" xfId="4967"/>
    <cellStyle name="Обычный 6 4 2 2 5" xfId="1415"/>
    <cellStyle name="Обычный 6 4 2 2 5 2" xfId="4968"/>
    <cellStyle name="Обычный 6 4 2 2 5 2 2" xfId="7242"/>
    <cellStyle name="Обычный 6 4 2 2 5 3" xfId="4969"/>
    <cellStyle name="Обычный 6 4 2 2 6" xfId="2280"/>
    <cellStyle name="Обычный 6 4 2 2 6 2" xfId="4970"/>
    <cellStyle name="Обычный 6 4 2 2 7" xfId="4971"/>
    <cellStyle name="Обычный 6 4 2 2 8" xfId="7243"/>
    <cellStyle name="Обычный 6 4 2 3" xfId="1416"/>
    <cellStyle name="Обычный 6 4 2 3 2" xfId="1417"/>
    <cellStyle name="Обычный 6 4 2 3 2 2" xfId="4972"/>
    <cellStyle name="Обычный 6 4 2 3 2 2 2" xfId="7244"/>
    <cellStyle name="Обычный 6 4 2 3 2 3" xfId="4973"/>
    <cellStyle name="Обычный 6 4 2 3 3" xfId="4974"/>
    <cellStyle name="Обычный 6 4 2 3 3 2" xfId="7245"/>
    <cellStyle name="Обычный 6 4 2 3 4" xfId="4975"/>
    <cellStyle name="Обычный 6 4 2 4" xfId="1418"/>
    <cellStyle name="Обычный 6 4 2 4 2" xfId="4976"/>
    <cellStyle name="Обычный 6 4 2 4 2 2" xfId="7246"/>
    <cellStyle name="Обычный 6 4 2 4 3" xfId="4977"/>
    <cellStyle name="Обычный 6 4 2 5" xfId="1419"/>
    <cellStyle name="Обычный 6 4 2 5 2" xfId="4978"/>
    <cellStyle name="Обычный 6 4 2 5 2 2" xfId="7247"/>
    <cellStyle name="Обычный 6 4 2 5 3" xfId="4979"/>
    <cellStyle name="Обычный 6 4 2 6" xfId="1420"/>
    <cellStyle name="Обычный 6 4 2 6 2" xfId="4980"/>
    <cellStyle name="Обычный 6 4 2 6 2 2" xfId="7248"/>
    <cellStyle name="Обычный 6 4 2 6 3" xfId="4981"/>
    <cellStyle name="Обычный 6 4 2 7" xfId="2281"/>
    <cellStyle name="Обычный 6 4 2 7 2" xfId="4982"/>
    <cellStyle name="Обычный 6 4 2 8" xfId="4983"/>
    <cellStyle name="Обычный 6 4 2 9" xfId="7249"/>
    <cellStyle name="Обычный 6 4 2_Расчет скв 3П Яснополянской  БУ румынский  без ВСП от 09082019" xfId="2034"/>
    <cellStyle name="Обычный 6 4 3" xfId="1421"/>
    <cellStyle name="Обычный 6 4 3 2" xfId="1422"/>
    <cellStyle name="Обычный 6 4 3 2 2" xfId="1423"/>
    <cellStyle name="Обычный 6 4 3 2 2 2" xfId="4984"/>
    <cellStyle name="Обычный 6 4 3 2 2 2 2" xfId="7250"/>
    <cellStyle name="Обычный 6 4 3 2 2 3" xfId="4985"/>
    <cellStyle name="Обычный 6 4 3 2 3" xfId="4986"/>
    <cellStyle name="Обычный 6 4 3 2 3 2" xfId="7251"/>
    <cellStyle name="Обычный 6 4 3 2 4" xfId="4987"/>
    <cellStyle name="Обычный 6 4 3 3" xfId="1424"/>
    <cellStyle name="Обычный 6 4 3 3 2" xfId="4988"/>
    <cellStyle name="Обычный 6 4 3 3 2 2" xfId="7252"/>
    <cellStyle name="Обычный 6 4 3 3 3" xfId="4989"/>
    <cellStyle name="Обычный 6 4 3 4" xfId="1425"/>
    <cellStyle name="Обычный 6 4 3 4 2" xfId="4990"/>
    <cellStyle name="Обычный 6 4 3 4 2 2" xfId="7253"/>
    <cellStyle name="Обычный 6 4 3 4 3" xfId="4991"/>
    <cellStyle name="Обычный 6 4 3 5" xfId="1426"/>
    <cellStyle name="Обычный 6 4 3 5 2" xfId="4992"/>
    <cellStyle name="Обычный 6 4 3 5 2 2" xfId="7254"/>
    <cellStyle name="Обычный 6 4 3 5 3" xfId="4993"/>
    <cellStyle name="Обычный 6 4 3 6" xfId="2282"/>
    <cellStyle name="Обычный 6 4 3 6 2" xfId="4994"/>
    <cellStyle name="Обычный 6 4 3 7" xfId="4995"/>
    <cellStyle name="Обычный 6 4 3 8" xfId="7255"/>
    <cellStyle name="Обычный 6 4 4" xfId="1427"/>
    <cellStyle name="Обычный 6 4 4 2" xfId="1428"/>
    <cellStyle name="Обычный 6 4 4 2 2" xfId="1429"/>
    <cellStyle name="Обычный 6 4 4 2 2 2" xfId="4996"/>
    <cellStyle name="Обычный 6 4 4 2 2 2 2" xfId="7256"/>
    <cellStyle name="Обычный 6 4 4 2 2 3" xfId="4997"/>
    <cellStyle name="Обычный 6 4 4 2 3" xfId="4998"/>
    <cellStyle name="Обычный 6 4 4 2 3 2" xfId="7257"/>
    <cellStyle name="Обычный 6 4 4 2 4" xfId="4999"/>
    <cellStyle name="Обычный 6 4 4 3" xfId="1430"/>
    <cellStyle name="Обычный 6 4 4 3 2" xfId="5000"/>
    <cellStyle name="Обычный 6 4 4 3 2 2" xfId="7258"/>
    <cellStyle name="Обычный 6 4 4 3 3" xfId="5001"/>
    <cellStyle name="Обычный 6 4 4 4" xfId="1431"/>
    <cellStyle name="Обычный 6 4 4 4 2" xfId="5002"/>
    <cellStyle name="Обычный 6 4 4 4 2 2" xfId="7259"/>
    <cellStyle name="Обычный 6 4 4 4 3" xfId="5003"/>
    <cellStyle name="Обычный 6 4 4 5" xfId="1432"/>
    <cellStyle name="Обычный 6 4 4 5 2" xfId="5004"/>
    <cellStyle name="Обычный 6 4 4 5 2 2" xfId="7260"/>
    <cellStyle name="Обычный 6 4 4 5 3" xfId="5005"/>
    <cellStyle name="Обычный 6 4 4 6" xfId="2283"/>
    <cellStyle name="Обычный 6 4 4 6 2" xfId="5006"/>
    <cellStyle name="Обычный 6 4 4 7" xfId="5007"/>
    <cellStyle name="Обычный 6 4 4 8" xfId="7261"/>
    <cellStyle name="Обычный 6 4 5" xfId="1433"/>
    <cellStyle name="Обычный 6 4 5 2" xfId="1434"/>
    <cellStyle name="Обычный 6 4 5 2 2" xfId="1435"/>
    <cellStyle name="Обычный 6 4 5 2 2 2" xfId="5008"/>
    <cellStyle name="Обычный 6 4 5 2 2 2 2" xfId="7262"/>
    <cellStyle name="Обычный 6 4 5 2 2 3" xfId="5009"/>
    <cellStyle name="Обычный 6 4 5 2 3" xfId="5010"/>
    <cellStyle name="Обычный 6 4 5 2 3 2" xfId="7263"/>
    <cellStyle name="Обычный 6 4 5 2 4" xfId="5011"/>
    <cellStyle name="Обычный 6 4 5 3" xfId="1436"/>
    <cellStyle name="Обычный 6 4 5 3 2" xfId="5012"/>
    <cellStyle name="Обычный 6 4 5 3 2 2" xfId="7264"/>
    <cellStyle name="Обычный 6 4 5 3 3" xfId="5013"/>
    <cellStyle name="Обычный 6 4 5 4" xfId="1437"/>
    <cellStyle name="Обычный 6 4 5 4 2" xfId="5014"/>
    <cellStyle name="Обычный 6 4 5 4 2 2" xfId="7265"/>
    <cellStyle name="Обычный 6 4 5 4 3" xfId="5015"/>
    <cellStyle name="Обычный 6 4 5 5" xfId="1438"/>
    <cellStyle name="Обычный 6 4 5 5 2" xfId="5016"/>
    <cellStyle name="Обычный 6 4 5 5 2 2" xfId="7266"/>
    <cellStyle name="Обычный 6 4 5 5 3" xfId="5017"/>
    <cellStyle name="Обычный 6 4 5 6" xfId="2284"/>
    <cellStyle name="Обычный 6 4 5 6 2" xfId="5018"/>
    <cellStyle name="Обычный 6 4 5 7" xfId="5019"/>
    <cellStyle name="Обычный 6 4 5 8" xfId="7267"/>
    <cellStyle name="Обычный 6 4 6" xfId="1439"/>
    <cellStyle name="Обычный 6 4 6 2" xfId="1440"/>
    <cellStyle name="Обычный 6 4 6 2 2" xfId="5020"/>
    <cellStyle name="Обычный 6 4 6 2 2 2" xfId="7268"/>
    <cellStyle name="Обычный 6 4 6 2 3" xfId="5021"/>
    <cellStyle name="Обычный 6 4 6 3" xfId="5022"/>
    <cellStyle name="Обычный 6 4 6 3 2" xfId="7269"/>
    <cellStyle name="Обычный 6 4 6 4" xfId="5023"/>
    <cellStyle name="Обычный 6 4 7" xfId="1441"/>
    <cellStyle name="Обычный 6 4 7 2" xfId="5024"/>
    <cellStyle name="Обычный 6 4 7 2 2" xfId="7270"/>
    <cellStyle name="Обычный 6 4 7 3" xfId="5025"/>
    <cellStyle name="Обычный 6 4 8" xfId="1442"/>
    <cellStyle name="Обычный 6 4 8 2" xfId="5026"/>
    <cellStyle name="Обычный 6 4 8 2 2" xfId="7271"/>
    <cellStyle name="Обычный 6 4 8 3" xfId="5027"/>
    <cellStyle name="Обычный 6 4 9" xfId="1443"/>
    <cellStyle name="Обычный 6 4 9 2" xfId="5028"/>
    <cellStyle name="Обычный 6 4 9 2 2" xfId="7272"/>
    <cellStyle name="Обычный 6 4 9 3" xfId="5029"/>
    <cellStyle name="Обычный 6 4_Расчет скв 3П Яснополянской  БУ румынский  без ВСП от 09082019" xfId="2035"/>
    <cellStyle name="Обычный 6 5" xfId="1444"/>
    <cellStyle name="Обычный 6 5 2" xfId="1445"/>
    <cellStyle name="Обычный 6 5 2 2" xfId="1446"/>
    <cellStyle name="Обычный 6 5 2 2 2" xfId="1447"/>
    <cellStyle name="Обычный 6 5 2 2 2 2" xfId="5030"/>
    <cellStyle name="Обычный 6 5 2 2 2 2 2" xfId="7273"/>
    <cellStyle name="Обычный 6 5 2 2 2 3" xfId="5031"/>
    <cellStyle name="Обычный 6 5 2 2 3" xfId="5032"/>
    <cellStyle name="Обычный 6 5 2 2 3 2" xfId="7274"/>
    <cellStyle name="Обычный 6 5 2 2 4" xfId="5033"/>
    <cellStyle name="Обычный 6 5 2 3" xfId="1448"/>
    <cellStyle name="Обычный 6 5 2 3 2" xfId="5034"/>
    <cellStyle name="Обычный 6 5 2 3 2 2" xfId="7275"/>
    <cellStyle name="Обычный 6 5 2 3 3" xfId="5035"/>
    <cellStyle name="Обычный 6 5 2 4" xfId="1449"/>
    <cellStyle name="Обычный 6 5 2 4 2" xfId="5036"/>
    <cellStyle name="Обычный 6 5 2 4 2 2" xfId="7276"/>
    <cellStyle name="Обычный 6 5 2 4 3" xfId="5037"/>
    <cellStyle name="Обычный 6 5 2 5" xfId="1450"/>
    <cellStyle name="Обычный 6 5 2 5 2" xfId="5038"/>
    <cellStyle name="Обычный 6 5 2 5 2 2" xfId="7277"/>
    <cellStyle name="Обычный 6 5 2 5 3" xfId="5039"/>
    <cellStyle name="Обычный 6 5 2 6" xfId="2285"/>
    <cellStyle name="Обычный 6 5 2 6 2" xfId="5040"/>
    <cellStyle name="Обычный 6 5 2 7" xfId="5041"/>
    <cellStyle name="Обычный 6 5 2 8" xfId="7278"/>
    <cellStyle name="Обычный 6 5 3" xfId="1451"/>
    <cellStyle name="Обычный 6 5 3 2" xfId="1452"/>
    <cellStyle name="Обычный 6 5 3 2 2" xfId="5042"/>
    <cellStyle name="Обычный 6 5 3 2 2 2" xfId="7279"/>
    <cellStyle name="Обычный 6 5 3 2 3" xfId="5043"/>
    <cellStyle name="Обычный 6 5 3 3" xfId="5044"/>
    <cellStyle name="Обычный 6 5 3 3 2" xfId="7280"/>
    <cellStyle name="Обычный 6 5 3 4" xfId="5045"/>
    <cellStyle name="Обычный 6 5 4" xfId="1453"/>
    <cellStyle name="Обычный 6 5 4 2" xfId="5046"/>
    <cellStyle name="Обычный 6 5 4 2 2" xfId="7281"/>
    <cellStyle name="Обычный 6 5 4 3" xfId="5047"/>
    <cellStyle name="Обычный 6 5 5" xfId="1454"/>
    <cellStyle name="Обычный 6 5 5 2" xfId="5048"/>
    <cellStyle name="Обычный 6 5 5 2 2" xfId="7282"/>
    <cellStyle name="Обычный 6 5 5 3" xfId="5049"/>
    <cellStyle name="Обычный 6 5 6" xfId="1455"/>
    <cellStyle name="Обычный 6 5 6 2" xfId="5050"/>
    <cellStyle name="Обычный 6 5 6 2 2" xfId="7283"/>
    <cellStyle name="Обычный 6 5 6 3" xfId="5051"/>
    <cellStyle name="Обычный 6 5 7" xfId="2286"/>
    <cellStyle name="Обычный 6 5 7 2" xfId="5052"/>
    <cellStyle name="Обычный 6 5 8" xfId="5053"/>
    <cellStyle name="Обычный 6 5 9" xfId="7284"/>
    <cellStyle name="Обычный 6 5_Расчет скв 3П Яснополянской  БУ румынский  без ВСП от 09082019" xfId="2036"/>
    <cellStyle name="Обычный 6 6" xfId="1456"/>
    <cellStyle name="Обычный 6 6 2" xfId="1457"/>
    <cellStyle name="Обычный 6 6 2 2" xfId="1458"/>
    <cellStyle name="Обычный 6 6 2 2 2" xfId="5054"/>
    <cellStyle name="Обычный 6 6 2 2 2 2" xfId="7285"/>
    <cellStyle name="Обычный 6 6 2 2 3" xfId="5055"/>
    <cellStyle name="Обычный 6 6 2 3" xfId="5056"/>
    <cellStyle name="Обычный 6 6 2 3 2" xfId="7286"/>
    <cellStyle name="Обычный 6 6 2 4" xfId="5057"/>
    <cellStyle name="Обычный 6 6 3" xfId="1459"/>
    <cellStyle name="Обычный 6 6 3 2" xfId="5058"/>
    <cellStyle name="Обычный 6 6 3 2 2" xfId="7287"/>
    <cellStyle name="Обычный 6 6 3 3" xfId="5059"/>
    <cellStyle name="Обычный 6 6 4" xfId="1460"/>
    <cellStyle name="Обычный 6 6 4 2" xfId="5060"/>
    <cellStyle name="Обычный 6 6 4 2 2" xfId="7288"/>
    <cellStyle name="Обычный 6 6 4 3" xfId="5061"/>
    <cellStyle name="Обычный 6 6 5" xfId="1461"/>
    <cellStyle name="Обычный 6 6 5 2" xfId="5062"/>
    <cellStyle name="Обычный 6 6 5 2 2" xfId="7289"/>
    <cellStyle name="Обычный 6 6 5 3" xfId="5063"/>
    <cellStyle name="Обычный 6 6 6" xfId="2287"/>
    <cellStyle name="Обычный 6 6 6 2" xfId="5064"/>
    <cellStyle name="Обычный 6 6 7" xfId="5065"/>
    <cellStyle name="Обычный 6 6 8" xfId="7290"/>
    <cellStyle name="Обычный 6 7" xfId="1462"/>
    <cellStyle name="Обычный 6 7 2" xfId="1463"/>
    <cellStyle name="Обычный 6 7 2 2" xfId="1464"/>
    <cellStyle name="Обычный 6 7 2 2 2" xfId="5066"/>
    <cellStyle name="Обычный 6 7 2 2 2 2" xfId="7291"/>
    <cellStyle name="Обычный 6 7 2 2 3" xfId="5067"/>
    <cellStyle name="Обычный 6 7 2 3" xfId="5068"/>
    <cellStyle name="Обычный 6 7 2 3 2" xfId="7292"/>
    <cellStyle name="Обычный 6 7 2 4" xfId="5069"/>
    <cellStyle name="Обычный 6 7 3" xfId="1465"/>
    <cellStyle name="Обычный 6 7 3 2" xfId="5070"/>
    <cellStyle name="Обычный 6 7 3 2 2" xfId="7293"/>
    <cellStyle name="Обычный 6 7 3 3" xfId="5071"/>
    <cellStyle name="Обычный 6 7 4" xfId="1466"/>
    <cellStyle name="Обычный 6 7 4 2" xfId="5072"/>
    <cellStyle name="Обычный 6 7 4 2 2" xfId="7294"/>
    <cellStyle name="Обычный 6 7 4 3" xfId="5073"/>
    <cellStyle name="Обычный 6 7 5" xfId="1467"/>
    <cellStyle name="Обычный 6 7 5 2" xfId="5074"/>
    <cellStyle name="Обычный 6 7 5 2 2" xfId="7295"/>
    <cellStyle name="Обычный 6 7 5 3" xfId="5075"/>
    <cellStyle name="Обычный 6 7 6" xfId="2288"/>
    <cellStyle name="Обычный 6 7 6 2" xfId="5076"/>
    <cellStyle name="Обычный 6 7 7" xfId="5077"/>
    <cellStyle name="Обычный 6 7 8" xfId="7296"/>
    <cellStyle name="Обычный 6 8" xfId="1468"/>
    <cellStyle name="Обычный 6 8 2" xfId="1469"/>
    <cellStyle name="Обычный 6 8 2 2" xfId="1470"/>
    <cellStyle name="Обычный 6 8 2 2 2" xfId="5078"/>
    <cellStyle name="Обычный 6 8 2 2 2 2" xfId="7297"/>
    <cellStyle name="Обычный 6 8 2 2 3" xfId="5079"/>
    <cellStyle name="Обычный 6 8 2 3" xfId="5080"/>
    <cellStyle name="Обычный 6 8 2 3 2" xfId="7298"/>
    <cellStyle name="Обычный 6 8 2 4" xfId="5081"/>
    <cellStyle name="Обычный 6 8 3" xfId="1471"/>
    <cellStyle name="Обычный 6 8 3 2" xfId="5082"/>
    <cellStyle name="Обычный 6 8 3 2 2" xfId="7299"/>
    <cellStyle name="Обычный 6 8 3 3" xfId="5083"/>
    <cellStyle name="Обычный 6 8 4" xfId="1472"/>
    <cellStyle name="Обычный 6 8 4 2" xfId="5084"/>
    <cellStyle name="Обычный 6 8 4 2 2" xfId="7300"/>
    <cellStyle name="Обычный 6 8 4 3" xfId="5085"/>
    <cellStyle name="Обычный 6 8 5" xfId="1473"/>
    <cellStyle name="Обычный 6 8 5 2" xfId="5086"/>
    <cellStyle name="Обычный 6 8 5 2 2" xfId="7301"/>
    <cellStyle name="Обычный 6 8 5 3" xfId="5087"/>
    <cellStyle name="Обычный 6 8 6" xfId="2289"/>
    <cellStyle name="Обычный 6 8 6 2" xfId="5088"/>
    <cellStyle name="Обычный 6 8 7" xfId="5089"/>
    <cellStyle name="Обычный 6 8 8" xfId="7302"/>
    <cellStyle name="Обычный 6 9" xfId="1474"/>
    <cellStyle name="Обычный 6 9 2" xfId="1475"/>
    <cellStyle name="Обычный 6 9 2 2" xfId="5090"/>
    <cellStyle name="Обычный 6 9 2 2 2" xfId="7303"/>
    <cellStyle name="Обычный 6 9 2 3" xfId="5091"/>
    <cellStyle name="Обычный 6 9 3" xfId="5092"/>
    <cellStyle name="Обычный 6 9 3 2" xfId="7304"/>
    <cellStyle name="Обычный 6 9 4" xfId="5093"/>
    <cellStyle name="Обычный 6_Расчет скв 3П Яснополянской  БУ румынский  без ВСП от 09082019" xfId="2037"/>
    <cellStyle name="Обычный 7" xfId="1476"/>
    <cellStyle name="Обычный 7 10" xfId="1477"/>
    <cellStyle name="Обычный 7 10 2" xfId="5094"/>
    <cellStyle name="Обычный 7 10 2 2" xfId="7305"/>
    <cellStyle name="Обычный 7 10 3" xfId="5095"/>
    <cellStyle name="Обычный 7 11" xfId="1478"/>
    <cellStyle name="Обычный 7 11 2" xfId="5096"/>
    <cellStyle name="Обычный 7 11 2 2" xfId="7306"/>
    <cellStyle name="Обычный 7 11 3" xfId="5097"/>
    <cellStyle name="Обычный 7 12" xfId="1479"/>
    <cellStyle name="Обычный 7 12 2" xfId="5098"/>
    <cellStyle name="Обычный 7 12 2 2" xfId="7307"/>
    <cellStyle name="Обычный 7 12 3" xfId="5099"/>
    <cellStyle name="Обычный 7 13" xfId="2290"/>
    <cellStyle name="Обычный 7 13 2" xfId="5100"/>
    <cellStyle name="Обычный 7 14" xfId="5101"/>
    <cellStyle name="Обычный 7 15" xfId="7308"/>
    <cellStyle name="Обычный 7 2" xfId="1480"/>
    <cellStyle name="Обычный 7 2 10" xfId="2291"/>
    <cellStyle name="Обычный 7 2 10 2" xfId="5102"/>
    <cellStyle name="Обычный 7 2 11" xfId="5103"/>
    <cellStyle name="Обычный 7 2 12" xfId="7309"/>
    <cellStyle name="Обычный 7 2 2" xfId="1481"/>
    <cellStyle name="Обычный 7 2 2 2" xfId="1482"/>
    <cellStyle name="Обычный 7 2 2 2 2" xfId="1483"/>
    <cellStyle name="Обычный 7 2 2 2 2 2" xfId="1484"/>
    <cellStyle name="Обычный 7 2 2 2 2 2 2" xfId="5104"/>
    <cellStyle name="Обычный 7 2 2 2 2 2 2 2" xfId="7310"/>
    <cellStyle name="Обычный 7 2 2 2 2 2 3" xfId="5105"/>
    <cellStyle name="Обычный 7 2 2 2 2 3" xfId="5106"/>
    <cellStyle name="Обычный 7 2 2 2 2 3 2" xfId="7311"/>
    <cellStyle name="Обычный 7 2 2 2 2 4" xfId="5107"/>
    <cellStyle name="Обычный 7 2 2 2 3" xfId="1485"/>
    <cellStyle name="Обычный 7 2 2 2 3 2" xfId="5108"/>
    <cellStyle name="Обычный 7 2 2 2 3 2 2" xfId="7312"/>
    <cellStyle name="Обычный 7 2 2 2 3 3" xfId="5109"/>
    <cellStyle name="Обычный 7 2 2 2 4" xfId="1486"/>
    <cellStyle name="Обычный 7 2 2 2 4 2" xfId="5110"/>
    <cellStyle name="Обычный 7 2 2 2 4 2 2" xfId="7313"/>
    <cellStyle name="Обычный 7 2 2 2 4 3" xfId="5111"/>
    <cellStyle name="Обычный 7 2 2 2 5" xfId="1487"/>
    <cellStyle name="Обычный 7 2 2 2 5 2" xfId="5112"/>
    <cellStyle name="Обычный 7 2 2 2 5 2 2" xfId="7314"/>
    <cellStyle name="Обычный 7 2 2 2 5 3" xfId="5113"/>
    <cellStyle name="Обычный 7 2 2 2 6" xfId="2292"/>
    <cellStyle name="Обычный 7 2 2 2 6 2" xfId="5114"/>
    <cellStyle name="Обычный 7 2 2 2 7" xfId="5115"/>
    <cellStyle name="Обычный 7 2 2 2 8" xfId="7315"/>
    <cellStyle name="Обычный 7 2 2 3" xfId="1488"/>
    <cellStyle name="Обычный 7 2 2 3 2" xfId="1489"/>
    <cellStyle name="Обычный 7 2 2 3 2 2" xfId="5116"/>
    <cellStyle name="Обычный 7 2 2 3 2 2 2" xfId="7316"/>
    <cellStyle name="Обычный 7 2 2 3 2 3" xfId="5117"/>
    <cellStyle name="Обычный 7 2 2 3 3" xfId="5118"/>
    <cellStyle name="Обычный 7 2 2 3 3 2" xfId="7317"/>
    <cellStyle name="Обычный 7 2 2 3 4" xfId="5119"/>
    <cellStyle name="Обычный 7 2 2 4" xfId="1490"/>
    <cellStyle name="Обычный 7 2 2 4 2" xfId="5120"/>
    <cellStyle name="Обычный 7 2 2 4 2 2" xfId="7318"/>
    <cellStyle name="Обычный 7 2 2 4 3" xfId="5121"/>
    <cellStyle name="Обычный 7 2 2 5" xfId="1491"/>
    <cellStyle name="Обычный 7 2 2 5 2" xfId="5122"/>
    <cellStyle name="Обычный 7 2 2 5 2 2" xfId="7319"/>
    <cellStyle name="Обычный 7 2 2 5 3" xfId="5123"/>
    <cellStyle name="Обычный 7 2 2 6" xfId="1492"/>
    <cellStyle name="Обычный 7 2 2 6 2" xfId="5124"/>
    <cellStyle name="Обычный 7 2 2 6 2 2" xfId="7320"/>
    <cellStyle name="Обычный 7 2 2 6 3" xfId="5125"/>
    <cellStyle name="Обычный 7 2 2 7" xfId="2293"/>
    <cellStyle name="Обычный 7 2 2 7 2" xfId="5126"/>
    <cellStyle name="Обычный 7 2 2 8" xfId="5127"/>
    <cellStyle name="Обычный 7 2 2 9" xfId="7321"/>
    <cellStyle name="Обычный 7 2 2_Расчет скв 3П Яснополянской  БУ румынский  без ВСП от 09082019" xfId="2038"/>
    <cellStyle name="Обычный 7 2 3" xfId="1493"/>
    <cellStyle name="Обычный 7 2 3 2" xfId="1494"/>
    <cellStyle name="Обычный 7 2 3 2 2" xfId="1495"/>
    <cellStyle name="Обычный 7 2 3 2 2 2" xfId="5128"/>
    <cellStyle name="Обычный 7 2 3 2 2 2 2" xfId="7322"/>
    <cellStyle name="Обычный 7 2 3 2 2 3" xfId="5129"/>
    <cellStyle name="Обычный 7 2 3 2 3" xfId="5130"/>
    <cellStyle name="Обычный 7 2 3 2 3 2" xfId="7323"/>
    <cellStyle name="Обычный 7 2 3 2 4" xfId="5131"/>
    <cellStyle name="Обычный 7 2 3 3" xfId="1496"/>
    <cellStyle name="Обычный 7 2 3 3 2" xfId="5132"/>
    <cellStyle name="Обычный 7 2 3 3 2 2" xfId="7324"/>
    <cellStyle name="Обычный 7 2 3 3 3" xfId="5133"/>
    <cellStyle name="Обычный 7 2 3 4" xfId="1497"/>
    <cellStyle name="Обычный 7 2 3 4 2" xfId="5134"/>
    <cellStyle name="Обычный 7 2 3 4 2 2" xfId="7325"/>
    <cellStyle name="Обычный 7 2 3 4 3" xfId="5135"/>
    <cellStyle name="Обычный 7 2 3 5" xfId="1498"/>
    <cellStyle name="Обычный 7 2 3 5 2" xfId="5136"/>
    <cellStyle name="Обычный 7 2 3 5 2 2" xfId="7326"/>
    <cellStyle name="Обычный 7 2 3 5 3" xfId="5137"/>
    <cellStyle name="Обычный 7 2 3 6" xfId="2294"/>
    <cellStyle name="Обычный 7 2 3 6 2" xfId="5138"/>
    <cellStyle name="Обычный 7 2 3 7" xfId="5139"/>
    <cellStyle name="Обычный 7 2 3 8" xfId="7327"/>
    <cellStyle name="Обычный 7 2 4" xfId="1499"/>
    <cellStyle name="Обычный 7 2 4 2" xfId="1500"/>
    <cellStyle name="Обычный 7 2 4 2 2" xfId="1501"/>
    <cellStyle name="Обычный 7 2 4 2 2 2" xfId="5140"/>
    <cellStyle name="Обычный 7 2 4 2 2 2 2" xfId="7328"/>
    <cellStyle name="Обычный 7 2 4 2 2 3" xfId="5141"/>
    <cellStyle name="Обычный 7 2 4 2 3" xfId="5142"/>
    <cellStyle name="Обычный 7 2 4 2 3 2" xfId="7329"/>
    <cellStyle name="Обычный 7 2 4 2 4" xfId="5143"/>
    <cellStyle name="Обычный 7 2 4 3" xfId="1502"/>
    <cellStyle name="Обычный 7 2 4 3 2" xfId="5144"/>
    <cellStyle name="Обычный 7 2 4 3 2 2" xfId="7330"/>
    <cellStyle name="Обычный 7 2 4 3 3" xfId="5145"/>
    <cellStyle name="Обычный 7 2 4 4" xfId="1503"/>
    <cellStyle name="Обычный 7 2 4 4 2" xfId="5146"/>
    <cellStyle name="Обычный 7 2 4 4 2 2" xfId="7331"/>
    <cellStyle name="Обычный 7 2 4 4 3" xfId="5147"/>
    <cellStyle name="Обычный 7 2 4 5" xfId="1504"/>
    <cellStyle name="Обычный 7 2 4 5 2" xfId="5148"/>
    <cellStyle name="Обычный 7 2 4 5 2 2" xfId="7332"/>
    <cellStyle name="Обычный 7 2 4 5 3" xfId="5149"/>
    <cellStyle name="Обычный 7 2 4 6" xfId="2295"/>
    <cellStyle name="Обычный 7 2 4 6 2" xfId="5150"/>
    <cellStyle name="Обычный 7 2 4 7" xfId="5151"/>
    <cellStyle name="Обычный 7 2 4 8" xfId="7333"/>
    <cellStyle name="Обычный 7 2 5" xfId="1505"/>
    <cellStyle name="Обычный 7 2 5 2" xfId="1506"/>
    <cellStyle name="Обычный 7 2 5 2 2" xfId="1507"/>
    <cellStyle name="Обычный 7 2 5 2 2 2" xfId="5152"/>
    <cellStyle name="Обычный 7 2 5 2 2 2 2" xfId="7334"/>
    <cellStyle name="Обычный 7 2 5 2 2 3" xfId="5153"/>
    <cellStyle name="Обычный 7 2 5 2 3" xfId="5154"/>
    <cellStyle name="Обычный 7 2 5 2 3 2" xfId="7335"/>
    <cellStyle name="Обычный 7 2 5 2 4" xfId="5155"/>
    <cellStyle name="Обычный 7 2 5 3" xfId="1508"/>
    <cellStyle name="Обычный 7 2 5 3 2" xfId="5156"/>
    <cellStyle name="Обычный 7 2 5 3 2 2" xfId="7336"/>
    <cellStyle name="Обычный 7 2 5 3 3" xfId="5157"/>
    <cellStyle name="Обычный 7 2 5 4" xfId="1509"/>
    <cellStyle name="Обычный 7 2 5 4 2" xfId="5158"/>
    <cellStyle name="Обычный 7 2 5 4 2 2" xfId="7337"/>
    <cellStyle name="Обычный 7 2 5 4 3" xfId="5159"/>
    <cellStyle name="Обычный 7 2 5 5" xfId="1510"/>
    <cellStyle name="Обычный 7 2 5 5 2" xfId="5160"/>
    <cellStyle name="Обычный 7 2 5 5 2 2" xfId="7338"/>
    <cellStyle name="Обычный 7 2 5 5 3" xfId="5161"/>
    <cellStyle name="Обычный 7 2 5 6" xfId="2296"/>
    <cellStyle name="Обычный 7 2 5 6 2" xfId="5162"/>
    <cellStyle name="Обычный 7 2 5 7" xfId="5163"/>
    <cellStyle name="Обычный 7 2 5 8" xfId="7339"/>
    <cellStyle name="Обычный 7 2 6" xfId="1511"/>
    <cellStyle name="Обычный 7 2 6 2" xfId="1512"/>
    <cellStyle name="Обычный 7 2 6 2 2" xfId="5164"/>
    <cellStyle name="Обычный 7 2 6 2 2 2" xfId="7340"/>
    <cellStyle name="Обычный 7 2 6 2 3" xfId="5165"/>
    <cellStyle name="Обычный 7 2 6 3" xfId="5166"/>
    <cellStyle name="Обычный 7 2 6 3 2" xfId="7341"/>
    <cellStyle name="Обычный 7 2 6 4" xfId="5167"/>
    <cellStyle name="Обычный 7 2 7" xfId="1513"/>
    <cellStyle name="Обычный 7 2 7 2" xfId="5168"/>
    <cellStyle name="Обычный 7 2 7 2 2" xfId="7342"/>
    <cellStyle name="Обычный 7 2 7 3" xfId="5169"/>
    <cellStyle name="Обычный 7 2 8" xfId="1514"/>
    <cellStyle name="Обычный 7 2 8 2" xfId="5170"/>
    <cellStyle name="Обычный 7 2 8 2 2" xfId="7343"/>
    <cellStyle name="Обычный 7 2 8 3" xfId="5171"/>
    <cellStyle name="Обычный 7 2 9" xfId="1515"/>
    <cellStyle name="Обычный 7 2 9 2" xfId="5172"/>
    <cellStyle name="Обычный 7 2 9 2 2" xfId="7344"/>
    <cellStyle name="Обычный 7 2 9 3" xfId="5173"/>
    <cellStyle name="Обычный 7 2_Расчет скв 3П Яснополянской  БУ румынский  без ВСП от 09082019" xfId="2039"/>
    <cellStyle name="Обычный 7 3" xfId="1516"/>
    <cellStyle name="Обычный 7 3 10" xfId="2297"/>
    <cellStyle name="Обычный 7 3 10 2" xfId="5174"/>
    <cellStyle name="Обычный 7 3 11" xfId="5175"/>
    <cellStyle name="Обычный 7 3 12" xfId="7345"/>
    <cellStyle name="Обычный 7 3 2" xfId="1517"/>
    <cellStyle name="Обычный 7 3 2 2" xfId="1518"/>
    <cellStyle name="Обычный 7 3 2 2 2" xfId="1519"/>
    <cellStyle name="Обычный 7 3 2 2 2 2" xfId="1520"/>
    <cellStyle name="Обычный 7 3 2 2 2 2 2" xfId="5176"/>
    <cellStyle name="Обычный 7 3 2 2 2 2 2 2" xfId="7346"/>
    <cellStyle name="Обычный 7 3 2 2 2 2 3" xfId="5177"/>
    <cellStyle name="Обычный 7 3 2 2 2 3" xfId="5178"/>
    <cellStyle name="Обычный 7 3 2 2 2 3 2" xfId="7347"/>
    <cellStyle name="Обычный 7 3 2 2 2 4" xfId="5179"/>
    <cellStyle name="Обычный 7 3 2 2 3" xfId="1521"/>
    <cellStyle name="Обычный 7 3 2 2 3 2" xfId="5180"/>
    <cellStyle name="Обычный 7 3 2 2 3 2 2" xfId="7348"/>
    <cellStyle name="Обычный 7 3 2 2 3 3" xfId="5181"/>
    <cellStyle name="Обычный 7 3 2 2 4" xfId="1522"/>
    <cellStyle name="Обычный 7 3 2 2 4 2" xfId="5182"/>
    <cellStyle name="Обычный 7 3 2 2 4 2 2" xfId="7349"/>
    <cellStyle name="Обычный 7 3 2 2 4 3" xfId="5183"/>
    <cellStyle name="Обычный 7 3 2 2 5" xfId="1523"/>
    <cellStyle name="Обычный 7 3 2 2 5 2" xfId="5184"/>
    <cellStyle name="Обычный 7 3 2 2 5 2 2" xfId="7350"/>
    <cellStyle name="Обычный 7 3 2 2 5 3" xfId="5185"/>
    <cellStyle name="Обычный 7 3 2 2 6" xfId="2298"/>
    <cellStyle name="Обычный 7 3 2 2 6 2" xfId="5186"/>
    <cellStyle name="Обычный 7 3 2 2 7" xfId="5187"/>
    <cellStyle name="Обычный 7 3 2 2 8" xfId="7351"/>
    <cellStyle name="Обычный 7 3 2 3" xfId="1524"/>
    <cellStyle name="Обычный 7 3 2 3 2" xfId="1525"/>
    <cellStyle name="Обычный 7 3 2 3 2 2" xfId="5188"/>
    <cellStyle name="Обычный 7 3 2 3 2 2 2" xfId="7352"/>
    <cellStyle name="Обычный 7 3 2 3 2 3" xfId="5189"/>
    <cellStyle name="Обычный 7 3 2 3 3" xfId="5190"/>
    <cellStyle name="Обычный 7 3 2 3 3 2" xfId="7353"/>
    <cellStyle name="Обычный 7 3 2 3 4" xfId="5191"/>
    <cellStyle name="Обычный 7 3 2 4" xfId="1526"/>
    <cellStyle name="Обычный 7 3 2 4 2" xfId="5192"/>
    <cellStyle name="Обычный 7 3 2 4 2 2" xfId="7354"/>
    <cellStyle name="Обычный 7 3 2 4 3" xfId="5193"/>
    <cellStyle name="Обычный 7 3 2 5" xfId="1527"/>
    <cellStyle name="Обычный 7 3 2 5 2" xfId="5194"/>
    <cellStyle name="Обычный 7 3 2 5 2 2" xfId="7355"/>
    <cellStyle name="Обычный 7 3 2 5 3" xfId="5195"/>
    <cellStyle name="Обычный 7 3 2 6" xfId="1528"/>
    <cellStyle name="Обычный 7 3 2 6 2" xfId="5196"/>
    <cellStyle name="Обычный 7 3 2 6 2 2" xfId="7356"/>
    <cellStyle name="Обычный 7 3 2 6 3" xfId="5197"/>
    <cellStyle name="Обычный 7 3 2 7" xfId="2299"/>
    <cellStyle name="Обычный 7 3 2 7 2" xfId="5198"/>
    <cellStyle name="Обычный 7 3 2 8" xfId="5199"/>
    <cellStyle name="Обычный 7 3 2 9" xfId="7357"/>
    <cellStyle name="Обычный 7 3 2_Расчет скв 3П Яснополянской  БУ румынский  без ВСП от 09082019" xfId="2040"/>
    <cellStyle name="Обычный 7 3 3" xfId="1529"/>
    <cellStyle name="Обычный 7 3 3 2" xfId="1530"/>
    <cellStyle name="Обычный 7 3 3 2 2" xfId="1531"/>
    <cellStyle name="Обычный 7 3 3 2 2 2" xfId="5200"/>
    <cellStyle name="Обычный 7 3 3 2 2 2 2" xfId="7358"/>
    <cellStyle name="Обычный 7 3 3 2 2 3" xfId="5201"/>
    <cellStyle name="Обычный 7 3 3 2 3" xfId="5202"/>
    <cellStyle name="Обычный 7 3 3 2 3 2" xfId="7359"/>
    <cellStyle name="Обычный 7 3 3 2 4" xfId="5203"/>
    <cellStyle name="Обычный 7 3 3 3" xfId="1532"/>
    <cellStyle name="Обычный 7 3 3 3 2" xfId="5204"/>
    <cellStyle name="Обычный 7 3 3 3 2 2" xfId="7360"/>
    <cellStyle name="Обычный 7 3 3 3 3" xfId="5205"/>
    <cellStyle name="Обычный 7 3 3 4" xfId="1533"/>
    <cellStyle name="Обычный 7 3 3 4 2" xfId="5206"/>
    <cellStyle name="Обычный 7 3 3 4 2 2" xfId="7361"/>
    <cellStyle name="Обычный 7 3 3 4 3" xfId="5207"/>
    <cellStyle name="Обычный 7 3 3 5" xfId="1534"/>
    <cellStyle name="Обычный 7 3 3 5 2" xfId="5208"/>
    <cellStyle name="Обычный 7 3 3 5 2 2" xfId="7362"/>
    <cellStyle name="Обычный 7 3 3 5 3" xfId="5209"/>
    <cellStyle name="Обычный 7 3 3 6" xfId="2300"/>
    <cellStyle name="Обычный 7 3 3 6 2" xfId="5210"/>
    <cellStyle name="Обычный 7 3 3 7" xfId="5211"/>
    <cellStyle name="Обычный 7 3 3 8" xfId="7363"/>
    <cellStyle name="Обычный 7 3 4" xfId="1535"/>
    <cellStyle name="Обычный 7 3 4 2" xfId="1536"/>
    <cellStyle name="Обычный 7 3 4 2 2" xfId="1537"/>
    <cellStyle name="Обычный 7 3 4 2 2 2" xfId="5212"/>
    <cellStyle name="Обычный 7 3 4 2 2 2 2" xfId="7364"/>
    <cellStyle name="Обычный 7 3 4 2 2 3" xfId="5213"/>
    <cellStyle name="Обычный 7 3 4 2 3" xfId="5214"/>
    <cellStyle name="Обычный 7 3 4 2 3 2" xfId="7365"/>
    <cellStyle name="Обычный 7 3 4 2 4" xfId="5215"/>
    <cellStyle name="Обычный 7 3 4 3" xfId="1538"/>
    <cellStyle name="Обычный 7 3 4 3 2" xfId="5216"/>
    <cellStyle name="Обычный 7 3 4 3 2 2" xfId="7366"/>
    <cellStyle name="Обычный 7 3 4 3 3" xfId="5217"/>
    <cellStyle name="Обычный 7 3 4 4" xfId="1539"/>
    <cellStyle name="Обычный 7 3 4 4 2" xfId="5218"/>
    <cellStyle name="Обычный 7 3 4 4 2 2" xfId="7367"/>
    <cellStyle name="Обычный 7 3 4 4 3" xfId="5219"/>
    <cellStyle name="Обычный 7 3 4 5" xfId="1540"/>
    <cellStyle name="Обычный 7 3 4 5 2" xfId="5220"/>
    <cellStyle name="Обычный 7 3 4 5 2 2" xfId="7368"/>
    <cellStyle name="Обычный 7 3 4 5 3" xfId="5221"/>
    <cellStyle name="Обычный 7 3 4 6" xfId="2301"/>
    <cellStyle name="Обычный 7 3 4 6 2" xfId="5222"/>
    <cellStyle name="Обычный 7 3 4 7" xfId="5223"/>
    <cellStyle name="Обычный 7 3 4 8" xfId="7369"/>
    <cellStyle name="Обычный 7 3 5" xfId="1541"/>
    <cellStyle name="Обычный 7 3 5 2" xfId="1542"/>
    <cellStyle name="Обычный 7 3 5 2 2" xfId="1543"/>
    <cellStyle name="Обычный 7 3 5 2 2 2" xfId="5224"/>
    <cellStyle name="Обычный 7 3 5 2 2 2 2" xfId="7370"/>
    <cellStyle name="Обычный 7 3 5 2 2 3" xfId="5225"/>
    <cellStyle name="Обычный 7 3 5 2 3" xfId="5226"/>
    <cellStyle name="Обычный 7 3 5 2 3 2" xfId="7371"/>
    <cellStyle name="Обычный 7 3 5 2 4" xfId="5227"/>
    <cellStyle name="Обычный 7 3 5 3" xfId="1544"/>
    <cellStyle name="Обычный 7 3 5 3 2" xfId="5228"/>
    <cellStyle name="Обычный 7 3 5 3 2 2" xfId="7372"/>
    <cellStyle name="Обычный 7 3 5 3 3" xfId="5229"/>
    <cellStyle name="Обычный 7 3 5 4" xfId="1545"/>
    <cellStyle name="Обычный 7 3 5 4 2" xfId="5230"/>
    <cellStyle name="Обычный 7 3 5 4 2 2" xfId="7373"/>
    <cellStyle name="Обычный 7 3 5 4 3" xfId="5231"/>
    <cellStyle name="Обычный 7 3 5 5" xfId="1546"/>
    <cellStyle name="Обычный 7 3 5 5 2" xfId="5232"/>
    <cellStyle name="Обычный 7 3 5 5 2 2" xfId="7374"/>
    <cellStyle name="Обычный 7 3 5 5 3" xfId="5233"/>
    <cellStyle name="Обычный 7 3 5 6" xfId="2302"/>
    <cellStyle name="Обычный 7 3 5 6 2" xfId="5234"/>
    <cellStyle name="Обычный 7 3 5 7" xfId="5235"/>
    <cellStyle name="Обычный 7 3 5 8" xfId="7375"/>
    <cellStyle name="Обычный 7 3 6" xfId="1547"/>
    <cellStyle name="Обычный 7 3 6 2" xfId="1548"/>
    <cellStyle name="Обычный 7 3 6 2 2" xfId="5236"/>
    <cellStyle name="Обычный 7 3 6 2 2 2" xfId="7376"/>
    <cellStyle name="Обычный 7 3 6 2 3" xfId="5237"/>
    <cellStyle name="Обычный 7 3 6 3" xfId="5238"/>
    <cellStyle name="Обычный 7 3 6 3 2" xfId="7377"/>
    <cellStyle name="Обычный 7 3 6 4" xfId="5239"/>
    <cellStyle name="Обычный 7 3 7" xfId="1549"/>
    <cellStyle name="Обычный 7 3 7 2" xfId="5240"/>
    <cellStyle name="Обычный 7 3 7 2 2" xfId="7378"/>
    <cellStyle name="Обычный 7 3 7 3" xfId="5241"/>
    <cellStyle name="Обычный 7 3 8" xfId="1550"/>
    <cellStyle name="Обычный 7 3 8 2" xfId="5242"/>
    <cellStyle name="Обычный 7 3 8 2 2" xfId="7379"/>
    <cellStyle name="Обычный 7 3 8 3" xfId="5243"/>
    <cellStyle name="Обычный 7 3 9" xfId="1551"/>
    <cellStyle name="Обычный 7 3 9 2" xfId="5244"/>
    <cellStyle name="Обычный 7 3 9 2 2" xfId="7380"/>
    <cellStyle name="Обычный 7 3 9 3" xfId="5245"/>
    <cellStyle name="Обычный 7 3_Расчет скв 3П Яснополянской  БУ румынский  без ВСП от 09082019" xfId="2041"/>
    <cellStyle name="Обычный 7 4" xfId="1552"/>
    <cellStyle name="Обычный 7 4 10" xfId="2303"/>
    <cellStyle name="Обычный 7 4 10 2" xfId="5246"/>
    <cellStyle name="Обычный 7 4 11" xfId="5247"/>
    <cellStyle name="Обычный 7 4 12" xfId="7381"/>
    <cellStyle name="Обычный 7 4 2" xfId="1553"/>
    <cellStyle name="Обычный 7 4 2 2" xfId="1554"/>
    <cellStyle name="Обычный 7 4 2 2 2" xfId="1555"/>
    <cellStyle name="Обычный 7 4 2 2 2 2" xfId="1556"/>
    <cellStyle name="Обычный 7 4 2 2 2 2 2" xfId="5248"/>
    <cellStyle name="Обычный 7 4 2 2 2 2 2 2" xfId="7382"/>
    <cellStyle name="Обычный 7 4 2 2 2 2 3" xfId="5249"/>
    <cellStyle name="Обычный 7 4 2 2 2 3" xfId="5250"/>
    <cellStyle name="Обычный 7 4 2 2 2 3 2" xfId="7383"/>
    <cellStyle name="Обычный 7 4 2 2 2 4" xfId="5251"/>
    <cellStyle name="Обычный 7 4 2 2 3" xfId="1557"/>
    <cellStyle name="Обычный 7 4 2 2 3 2" xfId="5252"/>
    <cellStyle name="Обычный 7 4 2 2 3 2 2" xfId="7384"/>
    <cellStyle name="Обычный 7 4 2 2 3 3" xfId="5253"/>
    <cellStyle name="Обычный 7 4 2 2 4" xfId="1558"/>
    <cellStyle name="Обычный 7 4 2 2 4 2" xfId="5254"/>
    <cellStyle name="Обычный 7 4 2 2 4 2 2" xfId="7385"/>
    <cellStyle name="Обычный 7 4 2 2 4 3" xfId="5255"/>
    <cellStyle name="Обычный 7 4 2 2 5" xfId="1559"/>
    <cellStyle name="Обычный 7 4 2 2 5 2" xfId="5256"/>
    <cellStyle name="Обычный 7 4 2 2 5 2 2" xfId="7386"/>
    <cellStyle name="Обычный 7 4 2 2 5 3" xfId="5257"/>
    <cellStyle name="Обычный 7 4 2 2 6" xfId="2304"/>
    <cellStyle name="Обычный 7 4 2 2 6 2" xfId="5258"/>
    <cellStyle name="Обычный 7 4 2 2 7" xfId="5259"/>
    <cellStyle name="Обычный 7 4 2 2 8" xfId="7387"/>
    <cellStyle name="Обычный 7 4 2 3" xfId="1560"/>
    <cellStyle name="Обычный 7 4 2 3 2" xfId="1561"/>
    <cellStyle name="Обычный 7 4 2 3 2 2" xfId="5260"/>
    <cellStyle name="Обычный 7 4 2 3 2 2 2" xfId="7388"/>
    <cellStyle name="Обычный 7 4 2 3 2 3" xfId="5261"/>
    <cellStyle name="Обычный 7 4 2 3 3" xfId="5262"/>
    <cellStyle name="Обычный 7 4 2 3 3 2" xfId="7389"/>
    <cellStyle name="Обычный 7 4 2 3 4" xfId="5263"/>
    <cellStyle name="Обычный 7 4 2 4" xfId="1562"/>
    <cellStyle name="Обычный 7 4 2 4 2" xfId="5264"/>
    <cellStyle name="Обычный 7 4 2 4 2 2" xfId="7390"/>
    <cellStyle name="Обычный 7 4 2 4 3" xfId="5265"/>
    <cellStyle name="Обычный 7 4 2 5" xfId="1563"/>
    <cellStyle name="Обычный 7 4 2 5 2" xfId="5266"/>
    <cellStyle name="Обычный 7 4 2 5 2 2" xfId="7391"/>
    <cellStyle name="Обычный 7 4 2 5 3" xfId="5267"/>
    <cellStyle name="Обычный 7 4 2 6" xfId="1564"/>
    <cellStyle name="Обычный 7 4 2 6 2" xfId="5268"/>
    <cellStyle name="Обычный 7 4 2 6 2 2" xfId="7392"/>
    <cellStyle name="Обычный 7 4 2 6 3" xfId="5269"/>
    <cellStyle name="Обычный 7 4 2 7" xfId="2305"/>
    <cellStyle name="Обычный 7 4 2 7 2" xfId="5270"/>
    <cellStyle name="Обычный 7 4 2 8" xfId="5271"/>
    <cellStyle name="Обычный 7 4 2 9" xfId="7393"/>
    <cellStyle name="Обычный 7 4 2_Расчет скв 3П Яснополянской  БУ румынский  без ВСП от 09082019" xfId="2042"/>
    <cellStyle name="Обычный 7 4 3" xfId="1565"/>
    <cellStyle name="Обычный 7 4 3 2" xfId="1566"/>
    <cellStyle name="Обычный 7 4 3 2 2" xfId="1567"/>
    <cellStyle name="Обычный 7 4 3 2 2 2" xfId="5272"/>
    <cellStyle name="Обычный 7 4 3 2 2 2 2" xfId="7394"/>
    <cellStyle name="Обычный 7 4 3 2 2 3" xfId="5273"/>
    <cellStyle name="Обычный 7 4 3 2 3" xfId="5274"/>
    <cellStyle name="Обычный 7 4 3 2 3 2" xfId="7395"/>
    <cellStyle name="Обычный 7 4 3 2 4" xfId="5275"/>
    <cellStyle name="Обычный 7 4 3 3" xfId="1568"/>
    <cellStyle name="Обычный 7 4 3 3 2" xfId="5276"/>
    <cellStyle name="Обычный 7 4 3 3 2 2" xfId="7396"/>
    <cellStyle name="Обычный 7 4 3 3 3" xfId="5277"/>
    <cellStyle name="Обычный 7 4 3 4" xfId="1569"/>
    <cellStyle name="Обычный 7 4 3 4 2" xfId="5278"/>
    <cellStyle name="Обычный 7 4 3 4 2 2" xfId="7397"/>
    <cellStyle name="Обычный 7 4 3 4 3" xfId="5279"/>
    <cellStyle name="Обычный 7 4 3 5" xfId="1570"/>
    <cellStyle name="Обычный 7 4 3 5 2" xfId="5280"/>
    <cellStyle name="Обычный 7 4 3 5 2 2" xfId="7398"/>
    <cellStyle name="Обычный 7 4 3 5 3" xfId="5281"/>
    <cellStyle name="Обычный 7 4 3 6" xfId="2306"/>
    <cellStyle name="Обычный 7 4 3 6 2" xfId="5282"/>
    <cellStyle name="Обычный 7 4 3 7" xfId="5283"/>
    <cellStyle name="Обычный 7 4 3 8" xfId="7399"/>
    <cellStyle name="Обычный 7 4 4" xfId="1571"/>
    <cellStyle name="Обычный 7 4 4 2" xfId="1572"/>
    <cellStyle name="Обычный 7 4 4 2 2" xfId="1573"/>
    <cellStyle name="Обычный 7 4 4 2 2 2" xfId="5284"/>
    <cellStyle name="Обычный 7 4 4 2 2 2 2" xfId="7400"/>
    <cellStyle name="Обычный 7 4 4 2 2 3" xfId="5285"/>
    <cellStyle name="Обычный 7 4 4 2 3" xfId="5286"/>
    <cellStyle name="Обычный 7 4 4 2 3 2" xfId="7401"/>
    <cellStyle name="Обычный 7 4 4 2 4" xfId="5287"/>
    <cellStyle name="Обычный 7 4 4 3" xfId="1574"/>
    <cellStyle name="Обычный 7 4 4 3 2" xfId="5288"/>
    <cellStyle name="Обычный 7 4 4 3 2 2" xfId="7402"/>
    <cellStyle name="Обычный 7 4 4 3 3" xfId="5289"/>
    <cellStyle name="Обычный 7 4 4 4" xfId="1575"/>
    <cellStyle name="Обычный 7 4 4 4 2" xfId="5290"/>
    <cellStyle name="Обычный 7 4 4 4 2 2" xfId="7403"/>
    <cellStyle name="Обычный 7 4 4 4 3" xfId="5291"/>
    <cellStyle name="Обычный 7 4 4 5" xfId="1576"/>
    <cellStyle name="Обычный 7 4 4 5 2" xfId="5292"/>
    <cellStyle name="Обычный 7 4 4 5 2 2" xfId="7404"/>
    <cellStyle name="Обычный 7 4 4 5 3" xfId="5293"/>
    <cellStyle name="Обычный 7 4 4 6" xfId="2307"/>
    <cellStyle name="Обычный 7 4 4 6 2" xfId="5294"/>
    <cellStyle name="Обычный 7 4 4 7" xfId="5295"/>
    <cellStyle name="Обычный 7 4 4 8" xfId="7405"/>
    <cellStyle name="Обычный 7 4 5" xfId="1577"/>
    <cellStyle name="Обычный 7 4 5 2" xfId="1578"/>
    <cellStyle name="Обычный 7 4 5 2 2" xfId="1579"/>
    <cellStyle name="Обычный 7 4 5 2 2 2" xfId="5296"/>
    <cellStyle name="Обычный 7 4 5 2 2 2 2" xfId="7406"/>
    <cellStyle name="Обычный 7 4 5 2 2 3" xfId="5297"/>
    <cellStyle name="Обычный 7 4 5 2 3" xfId="5298"/>
    <cellStyle name="Обычный 7 4 5 2 3 2" xfId="7407"/>
    <cellStyle name="Обычный 7 4 5 2 4" xfId="5299"/>
    <cellStyle name="Обычный 7 4 5 3" xfId="1580"/>
    <cellStyle name="Обычный 7 4 5 3 2" xfId="5300"/>
    <cellStyle name="Обычный 7 4 5 3 2 2" xfId="7408"/>
    <cellStyle name="Обычный 7 4 5 3 3" xfId="5301"/>
    <cellStyle name="Обычный 7 4 5 4" xfId="1581"/>
    <cellStyle name="Обычный 7 4 5 4 2" xfId="5302"/>
    <cellStyle name="Обычный 7 4 5 4 2 2" xfId="7409"/>
    <cellStyle name="Обычный 7 4 5 4 3" xfId="5303"/>
    <cellStyle name="Обычный 7 4 5 5" xfId="1582"/>
    <cellStyle name="Обычный 7 4 5 5 2" xfId="5304"/>
    <cellStyle name="Обычный 7 4 5 5 2 2" xfId="7410"/>
    <cellStyle name="Обычный 7 4 5 5 3" xfId="5305"/>
    <cellStyle name="Обычный 7 4 5 6" xfId="2308"/>
    <cellStyle name="Обычный 7 4 5 6 2" xfId="5306"/>
    <cellStyle name="Обычный 7 4 5 7" xfId="5307"/>
    <cellStyle name="Обычный 7 4 5 8" xfId="7411"/>
    <cellStyle name="Обычный 7 4 6" xfId="1583"/>
    <cellStyle name="Обычный 7 4 6 2" xfId="1584"/>
    <cellStyle name="Обычный 7 4 6 2 2" xfId="5308"/>
    <cellStyle name="Обычный 7 4 6 2 2 2" xfId="7412"/>
    <cellStyle name="Обычный 7 4 6 2 3" xfId="5309"/>
    <cellStyle name="Обычный 7 4 6 3" xfId="5310"/>
    <cellStyle name="Обычный 7 4 6 3 2" xfId="7413"/>
    <cellStyle name="Обычный 7 4 6 4" xfId="5311"/>
    <cellStyle name="Обычный 7 4 7" xfId="1585"/>
    <cellStyle name="Обычный 7 4 7 2" xfId="5312"/>
    <cellStyle name="Обычный 7 4 7 2 2" xfId="7414"/>
    <cellStyle name="Обычный 7 4 7 3" xfId="5313"/>
    <cellStyle name="Обычный 7 4 8" xfId="1586"/>
    <cellStyle name="Обычный 7 4 8 2" xfId="5314"/>
    <cellStyle name="Обычный 7 4 8 2 2" xfId="7415"/>
    <cellStyle name="Обычный 7 4 8 3" xfId="5315"/>
    <cellStyle name="Обычный 7 4 9" xfId="1587"/>
    <cellStyle name="Обычный 7 4 9 2" xfId="5316"/>
    <cellStyle name="Обычный 7 4 9 2 2" xfId="7416"/>
    <cellStyle name="Обычный 7 4 9 3" xfId="5317"/>
    <cellStyle name="Обычный 7 4_Расчет скв 3П Яснополянской  БУ румынский  без ВСП от 09082019" xfId="2043"/>
    <cellStyle name="Обычный 7 5" xfId="1588"/>
    <cellStyle name="Обычный 7 5 2" xfId="1589"/>
    <cellStyle name="Обычный 7 5 2 2" xfId="1590"/>
    <cellStyle name="Обычный 7 5 2 2 2" xfId="1591"/>
    <cellStyle name="Обычный 7 5 2 2 2 2" xfId="5318"/>
    <cellStyle name="Обычный 7 5 2 2 2 2 2" xfId="7417"/>
    <cellStyle name="Обычный 7 5 2 2 2 3" xfId="5319"/>
    <cellStyle name="Обычный 7 5 2 2 3" xfId="5320"/>
    <cellStyle name="Обычный 7 5 2 2 3 2" xfId="7418"/>
    <cellStyle name="Обычный 7 5 2 2 4" xfId="5321"/>
    <cellStyle name="Обычный 7 5 2 3" xfId="1592"/>
    <cellStyle name="Обычный 7 5 2 3 2" xfId="5322"/>
    <cellStyle name="Обычный 7 5 2 3 2 2" xfId="7419"/>
    <cellStyle name="Обычный 7 5 2 3 3" xfId="5323"/>
    <cellStyle name="Обычный 7 5 2 4" xfId="1593"/>
    <cellStyle name="Обычный 7 5 2 4 2" xfId="5324"/>
    <cellStyle name="Обычный 7 5 2 4 2 2" xfId="7420"/>
    <cellStyle name="Обычный 7 5 2 4 3" xfId="5325"/>
    <cellStyle name="Обычный 7 5 2 5" xfId="1594"/>
    <cellStyle name="Обычный 7 5 2 5 2" xfId="5326"/>
    <cellStyle name="Обычный 7 5 2 5 2 2" xfId="7421"/>
    <cellStyle name="Обычный 7 5 2 5 3" xfId="5327"/>
    <cellStyle name="Обычный 7 5 2 6" xfId="2309"/>
    <cellStyle name="Обычный 7 5 2 6 2" xfId="5328"/>
    <cellStyle name="Обычный 7 5 2 7" xfId="5329"/>
    <cellStyle name="Обычный 7 5 2 8" xfId="7422"/>
    <cellStyle name="Обычный 7 5 3" xfId="1595"/>
    <cellStyle name="Обычный 7 5 3 2" xfId="1596"/>
    <cellStyle name="Обычный 7 5 3 2 2" xfId="5330"/>
    <cellStyle name="Обычный 7 5 3 2 2 2" xfId="7423"/>
    <cellStyle name="Обычный 7 5 3 2 3" xfId="5331"/>
    <cellStyle name="Обычный 7 5 3 3" xfId="5332"/>
    <cellStyle name="Обычный 7 5 3 3 2" xfId="7424"/>
    <cellStyle name="Обычный 7 5 3 4" xfId="5333"/>
    <cellStyle name="Обычный 7 5 4" xfId="1597"/>
    <cellStyle name="Обычный 7 5 4 2" xfId="5334"/>
    <cellStyle name="Обычный 7 5 4 2 2" xfId="7425"/>
    <cellStyle name="Обычный 7 5 4 3" xfId="5335"/>
    <cellStyle name="Обычный 7 5 5" xfId="1598"/>
    <cellStyle name="Обычный 7 5 5 2" xfId="5336"/>
    <cellStyle name="Обычный 7 5 5 2 2" xfId="7426"/>
    <cellStyle name="Обычный 7 5 5 3" xfId="5337"/>
    <cellStyle name="Обычный 7 5 6" xfId="1599"/>
    <cellStyle name="Обычный 7 5 6 2" xfId="5338"/>
    <cellStyle name="Обычный 7 5 6 2 2" xfId="7427"/>
    <cellStyle name="Обычный 7 5 6 3" xfId="5339"/>
    <cellStyle name="Обычный 7 5 7" xfId="2310"/>
    <cellStyle name="Обычный 7 5 7 2" xfId="5340"/>
    <cellStyle name="Обычный 7 5 8" xfId="5341"/>
    <cellStyle name="Обычный 7 5 9" xfId="7428"/>
    <cellStyle name="Обычный 7 5_Расчет скв 3П Яснополянской  БУ румынский  без ВСП от 09082019" xfId="2044"/>
    <cellStyle name="Обычный 7 6" xfId="1600"/>
    <cellStyle name="Обычный 7 6 2" xfId="1601"/>
    <cellStyle name="Обычный 7 6 2 2" xfId="1602"/>
    <cellStyle name="Обычный 7 6 2 2 2" xfId="5342"/>
    <cellStyle name="Обычный 7 6 2 2 2 2" xfId="7429"/>
    <cellStyle name="Обычный 7 6 2 2 3" xfId="5343"/>
    <cellStyle name="Обычный 7 6 2 3" xfId="5344"/>
    <cellStyle name="Обычный 7 6 2 3 2" xfId="7430"/>
    <cellStyle name="Обычный 7 6 2 4" xfId="5345"/>
    <cellStyle name="Обычный 7 6 3" xfId="1603"/>
    <cellStyle name="Обычный 7 6 3 2" xfId="5346"/>
    <cellStyle name="Обычный 7 6 3 2 2" xfId="7431"/>
    <cellStyle name="Обычный 7 6 3 3" xfId="5347"/>
    <cellStyle name="Обычный 7 6 4" xfId="1604"/>
    <cellStyle name="Обычный 7 6 4 2" xfId="5348"/>
    <cellStyle name="Обычный 7 6 4 2 2" xfId="7432"/>
    <cellStyle name="Обычный 7 6 4 3" xfId="5349"/>
    <cellStyle name="Обычный 7 6 5" xfId="1605"/>
    <cellStyle name="Обычный 7 6 5 2" xfId="5350"/>
    <cellStyle name="Обычный 7 6 5 2 2" xfId="7433"/>
    <cellStyle name="Обычный 7 6 5 3" xfId="5351"/>
    <cellStyle name="Обычный 7 6 6" xfId="2311"/>
    <cellStyle name="Обычный 7 6 6 2" xfId="5352"/>
    <cellStyle name="Обычный 7 6 7" xfId="5353"/>
    <cellStyle name="Обычный 7 6 8" xfId="7434"/>
    <cellStyle name="Обычный 7 7" xfId="1606"/>
    <cellStyle name="Обычный 7 7 2" xfId="1607"/>
    <cellStyle name="Обычный 7 7 2 2" xfId="1608"/>
    <cellStyle name="Обычный 7 7 2 2 2" xfId="5354"/>
    <cellStyle name="Обычный 7 7 2 2 2 2" xfId="7435"/>
    <cellStyle name="Обычный 7 7 2 2 3" xfId="5355"/>
    <cellStyle name="Обычный 7 7 2 3" xfId="5356"/>
    <cellStyle name="Обычный 7 7 2 3 2" xfId="7436"/>
    <cellStyle name="Обычный 7 7 2 4" xfId="5357"/>
    <cellStyle name="Обычный 7 7 3" xfId="1609"/>
    <cellStyle name="Обычный 7 7 3 2" xfId="5358"/>
    <cellStyle name="Обычный 7 7 3 2 2" xfId="7437"/>
    <cellStyle name="Обычный 7 7 3 3" xfId="5359"/>
    <cellStyle name="Обычный 7 7 4" xfId="1610"/>
    <cellStyle name="Обычный 7 7 4 2" xfId="5360"/>
    <cellStyle name="Обычный 7 7 4 2 2" xfId="7438"/>
    <cellStyle name="Обычный 7 7 4 3" xfId="5361"/>
    <cellStyle name="Обычный 7 7 5" xfId="1611"/>
    <cellStyle name="Обычный 7 7 5 2" xfId="5362"/>
    <cellStyle name="Обычный 7 7 5 2 2" xfId="7439"/>
    <cellStyle name="Обычный 7 7 5 3" xfId="5363"/>
    <cellStyle name="Обычный 7 7 6" xfId="2312"/>
    <cellStyle name="Обычный 7 7 6 2" xfId="5364"/>
    <cellStyle name="Обычный 7 7 7" xfId="5365"/>
    <cellStyle name="Обычный 7 7 8" xfId="7440"/>
    <cellStyle name="Обычный 7 8" xfId="1612"/>
    <cellStyle name="Обычный 7 8 2" xfId="1613"/>
    <cellStyle name="Обычный 7 8 2 2" xfId="1614"/>
    <cellStyle name="Обычный 7 8 2 2 2" xfId="5366"/>
    <cellStyle name="Обычный 7 8 2 2 2 2" xfId="7441"/>
    <cellStyle name="Обычный 7 8 2 2 3" xfId="5367"/>
    <cellStyle name="Обычный 7 8 2 3" xfId="5368"/>
    <cellStyle name="Обычный 7 8 2 3 2" xfId="7442"/>
    <cellStyle name="Обычный 7 8 2 4" xfId="5369"/>
    <cellStyle name="Обычный 7 8 3" xfId="1615"/>
    <cellStyle name="Обычный 7 8 3 2" xfId="5370"/>
    <cellStyle name="Обычный 7 8 3 2 2" xfId="7443"/>
    <cellStyle name="Обычный 7 8 3 3" xfId="5371"/>
    <cellStyle name="Обычный 7 8 4" xfId="1616"/>
    <cellStyle name="Обычный 7 8 4 2" xfId="5372"/>
    <cellStyle name="Обычный 7 8 4 2 2" xfId="7444"/>
    <cellStyle name="Обычный 7 8 4 3" xfId="5373"/>
    <cellStyle name="Обычный 7 8 5" xfId="1617"/>
    <cellStyle name="Обычный 7 8 5 2" xfId="5374"/>
    <cellStyle name="Обычный 7 8 5 2 2" xfId="7445"/>
    <cellStyle name="Обычный 7 8 5 3" xfId="5375"/>
    <cellStyle name="Обычный 7 8 6" xfId="2313"/>
    <cellStyle name="Обычный 7 8 6 2" xfId="5376"/>
    <cellStyle name="Обычный 7 8 7" xfId="5377"/>
    <cellStyle name="Обычный 7 8 8" xfId="7446"/>
    <cellStyle name="Обычный 7 9" xfId="1618"/>
    <cellStyle name="Обычный 7 9 2" xfId="1619"/>
    <cellStyle name="Обычный 7 9 2 2" xfId="5378"/>
    <cellStyle name="Обычный 7 9 2 2 2" xfId="7447"/>
    <cellStyle name="Обычный 7 9 2 3" xfId="5379"/>
    <cellStyle name="Обычный 7 9 3" xfId="5380"/>
    <cellStyle name="Обычный 7 9 3 2" xfId="7448"/>
    <cellStyle name="Обычный 7 9 4" xfId="5381"/>
    <cellStyle name="Обычный 7_Расчет скв 3П Яснополянской  БУ румынский  без ВСП от 09082019" xfId="2045"/>
    <cellStyle name="Обычный 8" xfId="1620"/>
    <cellStyle name="Обычный 8 10" xfId="1621"/>
    <cellStyle name="Обычный 8 10 2" xfId="5382"/>
    <cellStyle name="Обычный 8 10 2 2" xfId="7449"/>
    <cellStyle name="Обычный 8 10 3" xfId="5383"/>
    <cellStyle name="Обычный 8 11" xfId="1622"/>
    <cellStyle name="Обычный 8 11 2" xfId="5384"/>
    <cellStyle name="Обычный 8 11 2 2" xfId="7450"/>
    <cellStyle name="Обычный 8 11 3" xfId="5385"/>
    <cellStyle name="Обычный 8 12" xfId="1623"/>
    <cellStyle name="Обычный 8 12 2" xfId="5386"/>
    <cellStyle name="Обычный 8 12 2 2" xfId="7451"/>
    <cellStyle name="Обычный 8 12 3" xfId="5387"/>
    <cellStyle name="Обычный 8 13" xfId="2314"/>
    <cellStyle name="Обычный 8 13 2" xfId="5388"/>
    <cellStyle name="Обычный 8 14" xfId="5389"/>
    <cellStyle name="Обычный 8 15" xfId="5390"/>
    <cellStyle name="Обычный 8 2" xfId="1624"/>
    <cellStyle name="Обычный 8 2 10" xfId="2315"/>
    <cellStyle name="Обычный 8 2 10 2" xfId="5391"/>
    <cellStyle name="Обычный 8 2 11" xfId="5392"/>
    <cellStyle name="Обычный 8 2 12" xfId="7452"/>
    <cellStyle name="Обычный 8 2 2" xfId="1625"/>
    <cellStyle name="Обычный 8 2 2 2" xfId="1626"/>
    <cellStyle name="Обычный 8 2 2 2 2" xfId="1627"/>
    <cellStyle name="Обычный 8 2 2 2 2 2" xfId="1628"/>
    <cellStyle name="Обычный 8 2 2 2 2 2 2" xfId="5393"/>
    <cellStyle name="Обычный 8 2 2 2 2 2 2 2" xfId="7453"/>
    <cellStyle name="Обычный 8 2 2 2 2 2 3" xfId="5394"/>
    <cellStyle name="Обычный 8 2 2 2 2 3" xfId="5395"/>
    <cellStyle name="Обычный 8 2 2 2 2 3 2" xfId="7454"/>
    <cellStyle name="Обычный 8 2 2 2 2 4" xfId="5396"/>
    <cellStyle name="Обычный 8 2 2 2 3" xfId="1629"/>
    <cellStyle name="Обычный 8 2 2 2 3 2" xfId="5397"/>
    <cellStyle name="Обычный 8 2 2 2 3 2 2" xfId="7455"/>
    <cellStyle name="Обычный 8 2 2 2 3 3" xfId="5398"/>
    <cellStyle name="Обычный 8 2 2 2 4" xfId="1630"/>
    <cellStyle name="Обычный 8 2 2 2 4 2" xfId="5399"/>
    <cellStyle name="Обычный 8 2 2 2 4 2 2" xfId="7456"/>
    <cellStyle name="Обычный 8 2 2 2 4 3" xfId="5400"/>
    <cellStyle name="Обычный 8 2 2 2 5" xfId="1631"/>
    <cellStyle name="Обычный 8 2 2 2 5 2" xfId="5401"/>
    <cellStyle name="Обычный 8 2 2 2 5 2 2" xfId="7457"/>
    <cellStyle name="Обычный 8 2 2 2 5 3" xfId="5402"/>
    <cellStyle name="Обычный 8 2 2 2 6" xfId="2316"/>
    <cellStyle name="Обычный 8 2 2 2 6 2" xfId="5403"/>
    <cellStyle name="Обычный 8 2 2 2 7" xfId="5404"/>
    <cellStyle name="Обычный 8 2 2 2 8" xfId="7458"/>
    <cellStyle name="Обычный 8 2 2 3" xfId="1632"/>
    <cellStyle name="Обычный 8 2 2 3 2" xfId="1633"/>
    <cellStyle name="Обычный 8 2 2 3 2 2" xfId="5405"/>
    <cellStyle name="Обычный 8 2 2 3 2 2 2" xfId="7459"/>
    <cellStyle name="Обычный 8 2 2 3 2 3" xfId="5406"/>
    <cellStyle name="Обычный 8 2 2 3 3" xfId="5407"/>
    <cellStyle name="Обычный 8 2 2 3 3 2" xfId="7460"/>
    <cellStyle name="Обычный 8 2 2 3 4" xfId="5408"/>
    <cellStyle name="Обычный 8 2 2 4" xfId="1634"/>
    <cellStyle name="Обычный 8 2 2 4 2" xfId="5409"/>
    <cellStyle name="Обычный 8 2 2 4 2 2" xfId="7461"/>
    <cellStyle name="Обычный 8 2 2 4 3" xfId="5410"/>
    <cellStyle name="Обычный 8 2 2 5" xfId="1635"/>
    <cellStyle name="Обычный 8 2 2 5 2" xfId="5411"/>
    <cellStyle name="Обычный 8 2 2 5 2 2" xfId="7462"/>
    <cellStyle name="Обычный 8 2 2 5 3" xfId="5412"/>
    <cellStyle name="Обычный 8 2 2 6" xfId="1636"/>
    <cellStyle name="Обычный 8 2 2 6 2" xfId="5413"/>
    <cellStyle name="Обычный 8 2 2 6 2 2" xfId="7463"/>
    <cellStyle name="Обычный 8 2 2 6 3" xfId="5414"/>
    <cellStyle name="Обычный 8 2 2 7" xfId="2317"/>
    <cellStyle name="Обычный 8 2 2 7 2" xfId="5415"/>
    <cellStyle name="Обычный 8 2 2 8" xfId="5416"/>
    <cellStyle name="Обычный 8 2 2 9" xfId="7464"/>
    <cellStyle name="Обычный 8 2 2_Расчет скв 3П Яснополянской  БУ румынский  без ВСП от 09082019" xfId="2046"/>
    <cellStyle name="Обычный 8 2 3" xfId="1637"/>
    <cellStyle name="Обычный 8 2 3 2" xfId="1638"/>
    <cellStyle name="Обычный 8 2 3 2 2" xfId="1639"/>
    <cellStyle name="Обычный 8 2 3 2 2 2" xfId="5417"/>
    <cellStyle name="Обычный 8 2 3 2 2 2 2" xfId="7465"/>
    <cellStyle name="Обычный 8 2 3 2 2 3" xfId="5418"/>
    <cellStyle name="Обычный 8 2 3 2 3" xfId="5419"/>
    <cellStyle name="Обычный 8 2 3 2 3 2" xfId="7466"/>
    <cellStyle name="Обычный 8 2 3 2 4" xfId="5420"/>
    <cellStyle name="Обычный 8 2 3 3" xfId="1640"/>
    <cellStyle name="Обычный 8 2 3 3 2" xfId="5421"/>
    <cellStyle name="Обычный 8 2 3 3 2 2" xfId="7467"/>
    <cellStyle name="Обычный 8 2 3 3 3" xfId="5422"/>
    <cellStyle name="Обычный 8 2 3 4" xfId="1641"/>
    <cellStyle name="Обычный 8 2 3 4 2" xfId="5423"/>
    <cellStyle name="Обычный 8 2 3 4 2 2" xfId="7468"/>
    <cellStyle name="Обычный 8 2 3 4 3" xfId="5424"/>
    <cellStyle name="Обычный 8 2 3 5" xfId="1642"/>
    <cellStyle name="Обычный 8 2 3 5 2" xfId="5425"/>
    <cellStyle name="Обычный 8 2 3 5 2 2" xfId="7469"/>
    <cellStyle name="Обычный 8 2 3 5 3" xfId="5426"/>
    <cellStyle name="Обычный 8 2 3 6" xfId="2318"/>
    <cellStyle name="Обычный 8 2 3 6 2" xfId="5427"/>
    <cellStyle name="Обычный 8 2 3 7" xfId="5428"/>
    <cellStyle name="Обычный 8 2 3 8" xfId="7470"/>
    <cellStyle name="Обычный 8 2 4" xfId="1643"/>
    <cellStyle name="Обычный 8 2 4 2" xfId="1644"/>
    <cellStyle name="Обычный 8 2 4 2 2" xfId="1645"/>
    <cellStyle name="Обычный 8 2 4 2 2 2" xfId="5429"/>
    <cellStyle name="Обычный 8 2 4 2 2 2 2" xfId="7471"/>
    <cellStyle name="Обычный 8 2 4 2 2 3" xfId="5430"/>
    <cellStyle name="Обычный 8 2 4 2 3" xfId="5431"/>
    <cellStyle name="Обычный 8 2 4 2 3 2" xfId="7472"/>
    <cellStyle name="Обычный 8 2 4 2 4" xfId="5432"/>
    <cellStyle name="Обычный 8 2 4 3" xfId="1646"/>
    <cellStyle name="Обычный 8 2 4 3 2" xfId="5433"/>
    <cellStyle name="Обычный 8 2 4 3 2 2" xfId="7473"/>
    <cellStyle name="Обычный 8 2 4 3 3" xfId="5434"/>
    <cellStyle name="Обычный 8 2 4 4" xfId="1647"/>
    <cellStyle name="Обычный 8 2 4 4 2" xfId="5435"/>
    <cellStyle name="Обычный 8 2 4 4 2 2" xfId="7474"/>
    <cellStyle name="Обычный 8 2 4 4 3" xfId="5436"/>
    <cellStyle name="Обычный 8 2 4 5" xfId="1648"/>
    <cellStyle name="Обычный 8 2 4 5 2" xfId="5437"/>
    <cellStyle name="Обычный 8 2 4 5 2 2" xfId="7475"/>
    <cellStyle name="Обычный 8 2 4 5 3" xfId="5438"/>
    <cellStyle name="Обычный 8 2 4 6" xfId="2319"/>
    <cellStyle name="Обычный 8 2 4 6 2" xfId="5439"/>
    <cellStyle name="Обычный 8 2 4 7" xfId="5440"/>
    <cellStyle name="Обычный 8 2 4 8" xfId="7476"/>
    <cellStyle name="Обычный 8 2 5" xfId="1649"/>
    <cellStyle name="Обычный 8 2 5 2" xfId="1650"/>
    <cellStyle name="Обычный 8 2 5 2 2" xfId="1651"/>
    <cellStyle name="Обычный 8 2 5 2 2 2" xfId="5441"/>
    <cellStyle name="Обычный 8 2 5 2 2 2 2" xfId="7477"/>
    <cellStyle name="Обычный 8 2 5 2 2 3" xfId="5442"/>
    <cellStyle name="Обычный 8 2 5 2 3" xfId="5443"/>
    <cellStyle name="Обычный 8 2 5 2 3 2" xfId="7478"/>
    <cellStyle name="Обычный 8 2 5 2 4" xfId="5444"/>
    <cellStyle name="Обычный 8 2 5 3" xfId="1652"/>
    <cellStyle name="Обычный 8 2 5 3 2" xfId="5445"/>
    <cellStyle name="Обычный 8 2 5 3 2 2" xfId="7479"/>
    <cellStyle name="Обычный 8 2 5 3 3" xfId="5446"/>
    <cellStyle name="Обычный 8 2 5 4" xfId="1653"/>
    <cellStyle name="Обычный 8 2 5 4 2" xfId="5447"/>
    <cellStyle name="Обычный 8 2 5 4 2 2" xfId="7480"/>
    <cellStyle name="Обычный 8 2 5 4 3" xfId="5448"/>
    <cellStyle name="Обычный 8 2 5 5" xfId="1654"/>
    <cellStyle name="Обычный 8 2 5 5 2" xfId="5449"/>
    <cellStyle name="Обычный 8 2 5 5 2 2" xfId="7481"/>
    <cellStyle name="Обычный 8 2 5 5 3" xfId="5450"/>
    <cellStyle name="Обычный 8 2 5 6" xfId="2320"/>
    <cellStyle name="Обычный 8 2 5 6 2" xfId="5451"/>
    <cellStyle name="Обычный 8 2 5 7" xfId="5452"/>
    <cellStyle name="Обычный 8 2 5 8" xfId="7482"/>
    <cellStyle name="Обычный 8 2 6" xfId="1655"/>
    <cellStyle name="Обычный 8 2 6 2" xfId="1656"/>
    <cellStyle name="Обычный 8 2 6 2 2" xfId="5453"/>
    <cellStyle name="Обычный 8 2 6 2 2 2" xfId="7483"/>
    <cellStyle name="Обычный 8 2 6 2 3" xfId="5454"/>
    <cellStyle name="Обычный 8 2 6 3" xfId="5455"/>
    <cellStyle name="Обычный 8 2 6 3 2" xfId="7484"/>
    <cellStyle name="Обычный 8 2 6 4" xfId="5456"/>
    <cellStyle name="Обычный 8 2 7" xfId="1657"/>
    <cellStyle name="Обычный 8 2 7 2" xfId="5457"/>
    <cellStyle name="Обычный 8 2 7 2 2" xfId="7485"/>
    <cellStyle name="Обычный 8 2 7 3" xfId="5458"/>
    <cellStyle name="Обычный 8 2 8" xfId="1658"/>
    <cellStyle name="Обычный 8 2 8 2" xfId="5459"/>
    <cellStyle name="Обычный 8 2 8 2 2" xfId="7486"/>
    <cellStyle name="Обычный 8 2 8 3" xfId="5460"/>
    <cellStyle name="Обычный 8 2 9" xfId="1659"/>
    <cellStyle name="Обычный 8 2 9 2" xfId="5461"/>
    <cellStyle name="Обычный 8 2 9 2 2" xfId="7487"/>
    <cellStyle name="Обычный 8 2 9 3" xfId="5462"/>
    <cellStyle name="Обычный 8 2_Расчет скв 3П Яснополянской  БУ румынский  без ВСП от 09082019" xfId="2047"/>
    <cellStyle name="Обычный 8 3" xfId="1660"/>
    <cellStyle name="Обычный 8 3 10" xfId="2321"/>
    <cellStyle name="Обычный 8 3 10 2" xfId="5463"/>
    <cellStyle name="Обычный 8 3 11" xfId="5464"/>
    <cellStyle name="Обычный 8 3 12" xfId="7488"/>
    <cellStyle name="Обычный 8 3 2" xfId="1661"/>
    <cellStyle name="Обычный 8 3 2 2" xfId="1662"/>
    <cellStyle name="Обычный 8 3 2 2 2" xfId="1663"/>
    <cellStyle name="Обычный 8 3 2 2 2 2" xfId="1664"/>
    <cellStyle name="Обычный 8 3 2 2 2 2 2" xfId="5465"/>
    <cellStyle name="Обычный 8 3 2 2 2 2 2 2" xfId="7489"/>
    <cellStyle name="Обычный 8 3 2 2 2 2 3" xfId="5466"/>
    <cellStyle name="Обычный 8 3 2 2 2 3" xfId="5467"/>
    <cellStyle name="Обычный 8 3 2 2 2 3 2" xfId="7490"/>
    <cellStyle name="Обычный 8 3 2 2 2 4" xfId="5468"/>
    <cellStyle name="Обычный 8 3 2 2 3" xfId="1665"/>
    <cellStyle name="Обычный 8 3 2 2 3 2" xfId="5469"/>
    <cellStyle name="Обычный 8 3 2 2 3 2 2" xfId="7491"/>
    <cellStyle name="Обычный 8 3 2 2 3 3" xfId="5470"/>
    <cellStyle name="Обычный 8 3 2 2 4" xfId="1666"/>
    <cellStyle name="Обычный 8 3 2 2 4 2" xfId="5471"/>
    <cellStyle name="Обычный 8 3 2 2 4 2 2" xfId="7492"/>
    <cellStyle name="Обычный 8 3 2 2 4 3" xfId="5472"/>
    <cellStyle name="Обычный 8 3 2 2 5" xfId="1667"/>
    <cellStyle name="Обычный 8 3 2 2 5 2" xfId="5473"/>
    <cellStyle name="Обычный 8 3 2 2 5 2 2" xfId="7493"/>
    <cellStyle name="Обычный 8 3 2 2 5 3" xfId="5474"/>
    <cellStyle name="Обычный 8 3 2 2 6" xfId="2322"/>
    <cellStyle name="Обычный 8 3 2 2 6 2" xfId="5475"/>
    <cellStyle name="Обычный 8 3 2 2 7" xfId="5476"/>
    <cellStyle name="Обычный 8 3 2 2 8" xfId="7494"/>
    <cellStyle name="Обычный 8 3 2 3" xfId="1668"/>
    <cellStyle name="Обычный 8 3 2 3 2" xfId="1669"/>
    <cellStyle name="Обычный 8 3 2 3 2 2" xfId="5477"/>
    <cellStyle name="Обычный 8 3 2 3 2 2 2" xfId="7495"/>
    <cellStyle name="Обычный 8 3 2 3 2 3" xfId="5478"/>
    <cellStyle name="Обычный 8 3 2 3 3" xfId="5479"/>
    <cellStyle name="Обычный 8 3 2 3 3 2" xfId="7496"/>
    <cellStyle name="Обычный 8 3 2 3 4" xfId="5480"/>
    <cellStyle name="Обычный 8 3 2 4" xfId="1670"/>
    <cellStyle name="Обычный 8 3 2 4 2" xfId="5481"/>
    <cellStyle name="Обычный 8 3 2 4 2 2" xfId="7497"/>
    <cellStyle name="Обычный 8 3 2 4 3" xfId="5482"/>
    <cellStyle name="Обычный 8 3 2 5" xfId="1671"/>
    <cellStyle name="Обычный 8 3 2 5 2" xfId="5483"/>
    <cellStyle name="Обычный 8 3 2 5 2 2" xfId="7498"/>
    <cellStyle name="Обычный 8 3 2 5 3" xfId="5484"/>
    <cellStyle name="Обычный 8 3 2 6" xfId="1672"/>
    <cellStyle name="Обычный 8 3 2 6 2" xfId="5485"/>
    <cellStyle name="Обычный 8 3 2 6 2 2" xfId="7499"/>
    <cellStyle name="Обычный 8 3 2 6 3" xfId="5486"/>
    <cellStyle name="Обычный 8 3 2 7" xfId="2323"/>
    <cellStyle name="Обычный 8 3 2 7 2" xfId="5487"/>
    <cellStyle name="Обычный 8 3 2 8" xfId="5488"/>
    <cellStyle name="Обычный 8 3 2 9" xfId="7500"/>
    <cellStyle name="Обычный 8 3 2_Расчет скв 3П Яснополянской  БУ румынский  без ВСП от 09082019" xfId="2048"/>
    <cellStyle name="Обычный 8 3 3" xfId="1673"/>
    <cellStyle name="Обычный 8 3 3 2" xfId="1674"/>
    <cellStyle name="Обычный 8 3 3 2 2" xfId="1675"/>
    <cellStyle name="Обычный 8 3 3 2 2 2" xfId="5489"/>
    <cellStyle name="Обычный 8 3 3 2 2 2 2" xfId="7501"/>
    <cellStyle name="Обычный 8 3 3 2 2 3" xfId="5490"/>
    <cellStyle name="Обычный 8 3 3 2 3" xfId="5491"/>
    <cellStyle name="Обычный 8 3 3 2 3 2" xfId="7502"/>
    <cellStyle name="Обычный 8 3 3 2 4" xfId="5492"/>
    <cellStyle name="Обычный 8 3 3 3" xfId="1676"/>
    <cellStyle name="Обычный 8 3 3 3 2" xfId="5493"/>
    <cellStyle name="Обычный 8 3 3 3 2 2" xfId="7503"/>
    <cellStyle name="Обычный 8 3 3 3 3" xfId="5494"/>
    <cellStyle name="Обычный 8 3 3 4" xfId="1677"/>
    <cellStyle name="Обычный 8 3 3 4 2" xfId="5495"/>
    <cellStyle name="Обычный 8 3 3 4 2 2" xfId="7504"/>
    <cellStyle name="Обычный 8 3 3 4 3" xfId="5496"/>
    <cellStyle name="Обычный 8 3 3 5" xfId="1678"/>
    <cellStyle name="Обычный 8 3 3 5 2" xfId="5497"/>
    <cellStyle name="Обычный 8 3 3 5 2 2" xfId="7505"/>
    <cellStyle name="Обычный 8 3 3 5 3" xfId="5498"/>
    <cellStyle name="Обычный 8 3 3 6" xfId="2324"/>
    <cellStyle name="Обычный 8 3 3 6 2" xfId="5499"/>
    <cellStyle name="Обычный 8 3 3 7" xfId="5500"/>
    <cellStyle name="Обычный 8 3 3 8" xfId="7506"/>
    <cellStyle name="Обычный 8 3 4" xfId="1679"/>
    <cellStyle name="Обычный 8 3 4 2" xfId="1680"/>
    <cellStyle name="Обычный 8 3 4 2 2" xfId="1681"/>
    <cellStyle name="Обычный 8 3 4 2 2 2" xfId="5501"/>
    <cellStyle name="Обычный 8 3 4 2 2 2 2" xfId="7507"/>
    <cellStyle name="Обычный 8 3 4 2 2 3" xfId="5502"/>
    <cellStyle name="Обычный 8 3 4 2 3" xfId="5503"/>
    <cellStyle name="Обычный 8 3 4 2 3 2" xfId="7508"/>
    <cellStyle name="Обычный 8 3 4 2 4" xfId="5504"/>
    <cellStyle name="Обычный 8 3 4 3" xfId="1682"/>
    <cellStyle name="Обычный 8 3 4 3 2" xfId="5505"/>
    <cellStyle name="Обычный 8 3 4 3 2 2" xfId="7509"/>
    <cellStyle name="Обычный 8 3 4 3 3" xfId="5506"/>
    <cellStyle name="Обычный 8 3 4 4" xfId="1683"/>
    <cellStyle name="Обычный 8 3 4 4 2" xfId="5507"/>
    <cellStyle name="Обычный 8 3 4 4 2 2" xfId="7510"/>
    <cellStyle name="Обычный 8 3 4 4 3" xfId="5508"/>
    <cellStyle name="Обычный 8 3 4 5" xfId="1684"/>
    <cellStyle name="Обычный 8 3 4 5 2" xfId="5509"/>
    <cellStyle name="Обычный 8 3 4 5 2 2" xfId="7511"/>
    <cellStyle name="Обычный 8 3 4 5 3" xfId="5510"/>
    <cellStyle name="Обычный 8 3 4 6" xfId="2325"/>
    <cellStyle name="Обычный 8 3 4 6 2" xfId="5511"/>
    <cellStyle name="Обычный 8 3 4 7" xfId="5512"/>
    <cellStyle name="Обычный 8 3 4 8" xfId="7512"/>
    <cellStyle name="Обычный 8 3 5" xfId="1685"/>
    <cellStyle name="Обычный 8 3 5 2" xfId="1686"/>
    <cellStyle name="Обычный 8 3 5 2 2" xfId="1687"/>
    <cellStyle name="Обычный 8 3 5 2 2 2" xfId="5513"/>
    <cellStyle name="Обычный 8 3 5 2 2 2 2" xfId="7513"/>
    <cellStyle name="Обычный 8 3 5 2 2 3" xfId="5514"/>
    <cellStyle name="Обычный 8 3 5 2 3" xfId="5515"/>
    <cellStyle name="Обычный 8 3 5 2 3 2" xfId="7514"/>
    <cellStyle name="Обычный 8 3 5 2 4" xfId="5516"/>
    <cellStyle name="Обычный 8 3 5 3" xfId="1688"/>
    <cellStyle name="Обычный 8 3 5 3 2" xfId="5517"/>
    <cellStyle name="Обычный 8 3 5 3 2 2" xfId="7515"/>
    <cellStyle name="Обычный 8 3 5 3 3" xfId="5518"/>
    <cellStyle name="Обычный 8 3 5 4" xfId="1689"/>
    <cellStyle name="Обычный 8 3 5 4 2" xfId="5519"/>
    <cellStyle name="Обычный 8 3 5 4 2 2" xfId="7516"/>
    <cellStyle name="Обычный 8 3 5 4 3" xfId="5520"/>
    <cellStyle name="Обычный 8 3 5 5" xfId="1690"/>
    <cellStyle name="Обычный 8 3 5 5 2" xfId="5521"/>
    <cellStyle name="Обычный 8 3 5 5 2 2" xfId="7517"/>
    <cellStyle name="Обычный 8 3 5 5 3" xfId="5522"/>
    <cellStyle name="Обычный 8 3 5 6" xfId="2326"/>
    <cellStyle name="Обычный 8 3 5 6 2" xfId="5523"/>
    <cellStyle name="Обычный 8 3 5 7" xfId="5524"/>
    <cellStyle name="Обычный 8 3 5 8" xfId="7518"/>
    <cellStyle name="Обычный 8 3 6" xfId="1691"/>
    <cellStyle name="Обычный 8 3 6 2" xfId="1692"/>
    <cellStyle name="Обычный 8 3 6 2 2" xfId="5525"/>
    <cellStyle name="Обычный 8 3 6 2 2 2" xfId="7519"/>
    <cellStyle name="Обычный 8 3 6 2 3" xfId="5526"/>
    <cellStyle name="Обычный 8 3 6 3" xfId="5527"/>
    <cellStyle name="Обычный 8 3 6 3 2" xfId="7520"/>
    <cellStyle name="Обычный 8 3 6 4" xfId="5528"/>
    <cellStyle name="Обычный 8 3 7" xfId="1693"/>
    <cellStyle name="Обычный 8 3 7 2" xfId="5529"/>
    <cellStyle name="Обычный 8 3 7 2 2" xfId="7521"/>
    <cellStyle name="Обычный 8 3 7 3" xfId="5530"/>
    <cellStyle name="Обычный 8 3 8" xfId="1694"/>
    <cellStyle name="Обычный 8 3 8 2" xfId="5531"/>
    <cellStyle name="Обычный 8 3 8 2 2" xfId="7522"/>
    <cellStyle name="Обычный 8 3 8 3" xfId="5532"/>
    <cellStyle name="Обычный 8 3 9" xfId="1695"/>
    <cellStyle name="Обычный 8 3 9 2" xfId="5533"/>
    <cellStyle name="Обычный 8 3 9 2 2" xfId="7523"/>
    <cellStyle name="Обычный 8 3 9 3" xfId="5534"/>
    <cellStyle name="Обычный 8 3_Расчет скв 3П Яснополянской  БУ румынский  без ВСП от 09082019" xfId="2049"/>
    <cellStyle name="Обычный 8 4" xfId="1696"/>
    <cellStyle name="Обычный 8 4 10" xfId="2327"/>
    <cellStyle name="Обычный 8 4 10 2" xfId="5535"/>
    <cellStyle name="Обычный 8 4 11" xfId="5536"/>
    <cellStyle name="Обычный 8 4 12" xfId="7524"/>
    <cellStyle name="Обычный 8 4 2" xfId="1697"/>
    <cellStyle name="Обычный 8 4 2 2" xfId="1698"/>
    <cellStyle name="Обычный 8 4 2 2 2" xfId="1699"/>
    <cellStyle name="Обычный 8 4 2 2 2 2" xfId="1700"/>
    <cellStyle name="Обычный 8 4 2 2 2 2 2" xfId="5537"/>
    <cellStyle name="Обычный 8 4 2 2 2 2 2 2" xfId="7525"/>
    <cellStyle name="Обычный 8 4 2 2 2 2 3" xfId="5538"/>
    <cellStyle name="Обычный 8 4 2 2 2 3" xfId="5539"/>
    <cellStyle name="Обычный 8 4 2 2 2 3 2" xfId="7526"/>
    <cellStyle name="Обычный 8 4 2 2 2 4" xfId="5540"/>
    <cellStyle name="Обычный 8 4 2 2 3" xfId="1701"/>
    <cellStyle name="Обычный 8 4 2 2 3 2" xfId="5541"/>
    <cellStyle name="Обычный 8 4 2 2 3 2 2" xfId="7527"/>
    <cellStyle name="Обычный 8 4 2 2 3 3" xfId="5542"/>
    <cellStyle name="Обычный 8 4 2 2 4" xfId="1702"/>
    <cellStyle name="Обычный 8 4 2 2 4 2" xfId="5543"/>
    <cellStyle name="Обычный 8 4 2 2 4 2 2" xfId="7528"/>
    <cellStyle name="Обычный 8 4 2 2 4 3" xfId="5544"/>
    <cellStyle name="Обычный 8 4 2 2 5" xfId="1703"/>
    <cellStyle name="Обычный 8 4 2 2 5 2" xfId="5545"/>
    <cellStyle name="Обычный 8 4 2 2 5 2 2" xfId="7529"/>
    <cellStyle name="Обычный 8 4 2 2 5 3" xfId="5546"/>
    <cellStyle name="Обычный 8 4 2 2 6" xfId="2328"/>
    <cellStyle name="Обычный 8 4 2 2 6 2" xfId="5547"/>
    <cellStyle name="Обычный 8 4 2 2 7" xfId="5548"/>
    <cellStyle name="Обычный 8 4 2 2 8" xfId="7530"/>
    <cellStyle name="Обычный 8 4 2 3" xfId="1704"/>
    <cellStyle name="Обычный 8 4 2 3 2" xfId="1705"/>
    <cellStyle name="Обычный 8 4 2 3 2 2" xfId="5549"/>
    <cellStyle name="Обычный 8 4 2 3 2 2 2" xfId="7531"/>
    <cellStyle name="Обычный 8 4 2 3 2 3" xfId="5550"/>
    <cellStyle name="Обычный 8 4 2 3 3" xfId="5551"/>
    <cellStyle name="Обычный 8 4 2 3 3 2" xfId="7532"/>
    <cellStyle name="Обычный 8 4 2 3 4" xfId="5552"/>
    <cellStyle name="Обычный 8 4 2 4" xfId="1706"/>
    <cellStyle name="Обычный 8 4 2 4 2" xfId="5553"/>
    <cellStyle name="Обычный 8 4 2 4 2 2" xfId="7533"/>
    <cellStyle name="Обычный 8 4 2 4 3" xfId="5554"/>
    <cellStyle name="Обычный 8 4 2 5" xfId="1707"/>
    <cellStyle name="Обычный 8 4 2 5 2" xfId="5555"/>
    <cellStyle name="Обычный 8 4 2 5 2 2" xfId="7534"/>
    <cellStyle name="Обычный 8 4 2 5 3" xfId="5556"/>
    <cellStyle name="Обычный 8 4 2 6" xfId="1708"/>
    <cellStyle name="Обычный 8 4 2 6 2" xfId="5557"/>
    <cellStyle name="Обычный 8 4 2 6 2 2" xfId="7535"/>
    <cellStyle name="Обычный 8 4 2 6 3" xfId="5558"/>
    <cellStyle name="Обычный 8 4 2 7" xfId="2329"/>
    <cellStyle name="Обычный 8 4 2 7 2" xfId="5559"/>
    <cellStyle name="Обычный 8 4 2 8" xfId="5560"/>
    <cellStyle name="Обычный 8 4 2 9" xfId="7536"/>
    <cellStyle name="Обычный 8 4 2_Расчет скв 3П Яснополянской  БУ румынский  без ВСП от 09082019" xfId="2050"/>
    <cellStyle name="Обычный 8 4 3" xfId="1709"/>
    <cellStyle name="Обычный 8 4 3 2" xfId="1710"/>
    <cellStyle name="Обычный 8 4 3 2 2" xfId="1711"/>
    <cellStyle name="Обычный 8 4 3 2 2 2" xfId="5561"/>
    <cellStyle name="Обычный 8 4 3 2 2 2 2" xfId="7537"/>
    <cellStyle name="Обычный 8 4 3 2 2 3" xfId="5562"/>
    <cellStyle name="Обычный 8 4 3 2 3" xfId="5563"/>
    <cellStyle name="Обычный 8 4 3 2 3 2" xfId="7538"/>
    <cellStyle name="Обычный 8 4 3 2 4" xfId="5564"/>
    <cellStyle name="Обычный 8 4 3 3" xfId="1712"/>
    <cellStyle name="Обычный 8 4 3 3 2" xfId="5565"/>
    <cellStyle name="Обычный 8 4 3 3 2 2" xfId="7539"/>
    <cellStyle name="Обычный 8 4 3 3 3" xfId="5566"/>
    <cellStyle name="Обычный 8 4 3 4" xfId="1713"/>
    <cellStyle name="Обычный 8 4 3 4 2" xfId="5567"/>
    <cellStyle name="Обычный 8 4 3 4 2 2" xfId="7540"/>
    <cellStyle name="Обычный 8 4 3 4 3" xfId="5568"/>
    <cellStyle name="Обычный 8 4 3 5" xfId="1714"/>
    <cellStyle name="Обычный 8 4 3 5 2" xfId="5569"/>
    <cellStyle name="Обычный 8 4 3 5 2 2" xfId="7541"/>
    <cellStyle name="Обычный 8 4 3 5 3" xfId="5570"/>
    <cellStyle name="Обычный 8 4 3 6" xfId="2330"/>
    <cellStyle name="Обычный 8 4 3 6 2" xfId="5571"/>
    <cellStyle name="Обычный 8 4 3 7" xfId="5572"/>
    <cellStyle name="Обычный 8 4 3 8" xfId="7542"/>
    <cellStyle name="Обычный 8 4 4" xfId="1715"/>
    <cellStyle name="Обычный 8 4 4 2" xfId="1716"/>
    <cellStyle name="Обычный 8 4 4 2 2" xfId="1717"/>
    <cellStyle name="Обычный 8 4 4 2 2 2" xfId="5573"/>
    <cellStyle name="Обычный 8 4 4 2 2 2 2" xfId="7543"/>
    <cellStyle name="Обычный 8 4 4 2 2 3" xfId="5574"/>
    <cellStyle name="Обычный 8 4 4 2 3" xfId="5575"/>
    <cellStyle name="Обычный 8 4 4 2 3 2" xfId="7544"/>
    <cellStyle name="Обычный 8 4 4 2 4" xfId="5576"/>
    <cellStyle name="Обычный 8 4 4 3" xfId="1718"/>
    <cellStyle name="Обычный 8 4 4 3 2" xfId="5577"/>
    <cellStyle name="Обычный 8 4 4 3 2 2" xfId="7545"/>
    <cellStyle name="Обычный 8 4 4 3 3" xfId="5578"/>
    <cellStyle name="Обычный 8 4 4 4" xfId="1719"/>
    <cellStyle name="Обычный 8 4 4 4 2" xfId="5579"/>
    <cellStyle name="Обычный 8 4 4 4 2 2" xfId="7546"/>
    <cellStyle name="Обычный 8 4 4 4 3" xfId="5580"/>
    <cellStyle name="Обычный 8 4 4 5" xfId="1720"/>
    <cellStyle name="Обычный 8 4 4 5 2" xfId="5581"/>
    <cellStyle name="Обычный 8 4 4 5 2 2" xfId="7547"/>
    <cellStyle name="Обычный 8 4 4 5 3" xfId="5582"/>
    <cellStyle name="Обычный 8 4 4 6" xfId="2331"/>
    <cellStyle name="Обычный 8 4 4 6 2" xfId="5583"/>
    <cellStyle name="Обычный 8 4 4 7" xfId="5584"/>
    <cellStyle name="Обычный 8 4 4 8" xfId="7548"/>
    <cellStyle name="Обычный 8 4 5" xfId="1721"/>
    <cellStyle name="Обычный 8 4 5 2" xfId="1722"/>
    <cellStyle name="Обычный 8 4 5 2 2" xfId="1723"/>
    <cellStyle name="Обычный 8 4 5 2 2 2" xfId="5585"/>
    <cellStyle name="Обычный 8 4 5 2 2 2 2" xfId="7549"/>
    <cellStyle name="Обычный 8 4 5 2 2 3" xfId="5586"/>
    <cellStyle name="Обычный 8 4 5 2 3" xfId="5587"/>
    <cellStyle name="Обычный 8 4 5 2 3 2" xfId="7550"/>
    <cellStyle name="Обычный 8 4 5 2 4" xfId="5588"/>
    <cellStyle name="Обычный 8 4 5 3" xfId="1724"/>
    <cellStyle name="Обычный 8 4 5 3 2" xfId="5589"/>
    <cellStyle name="Обычный 8 4 5 3 2 2" xfId="7551"/>
    <cellStyle name="Обычный 8 4 5 3 3" xfId="5590"/>
    <cellStyle name="Обычный 8 4 5 4" xfId="1725"/>
    <cellStyle name="Обычный 8 4 5 4 2" xfId="5591"/>
    <cellStyle name="Обычный 8 4 5 4 2 2" xfId="7552"/>
    <cellStyle name="Обычный 8 4 5 4 3" xfId="5592"/>
    <cellStyle name="Обычный 8 4 5 5" xfId="1726"/>
    <cellStyle name="Обычный 8 4 5 5 2" xfId="5593"/>
    <cellStyle name="Обычный 8 4 5 5 2 2" xfId="7553"/>
    <cellStyle name="Обычный 8 4 5 5 3" xfId="5594"/>
    <cellStyle name="Обычный 8 4 5 6" xfId="2332"/>
    <cellStyle name="Обычный 8 4 5 6 2" xfId="5595"/>
    <cellStyle name="Обычный 8 4 5 7" xfId="5596"/>
    <cellStyle name="Обычный 8 4 5 8" xfId="7554"/>
    <cellStyle name="Обычный 8 4 6" xfId="1727"/>
    <cellStyle name="Обычный 8 4 6 2" xfId="1728"/>
    <cellStyle name="Обычный 8 4 6 2 2" xfId="5597"/>
    <cellStyle name="Обычный 8 4 6 2 2 2" xfId="7555"/>
    <cellStyle name="Обычный 8 4 6 2 3" xfId="5598"/>
    <cellStyle name="Обычный 8 4 6 3" xfId="5599"/>
    <cellStyle name="Обычный 8 4 6 3 2" xfId="7556"/>
    <cellStyle name="Обычный 8 4 6 4" xfId="5600"/>
    <cellStyle name="Обычный 8 4 7" xfId="1729"/>
    <cellStyle name="Обычный 8 4 7 2" xfId="5601"/>
    <cellStyle name="Обычный 8 4 7 2 2" xfId="7557"/>
    <cellStyle name="Обычный 8 4 7 3" xfId="5602"/>
    <cellStyle name="Обычный 8 4 8" xfId="1730"/>
    <cellStyle name="Обычный 8 4 8 2" xfId="5603"/>
    <cellStyle name="Обычный 8 4 8 2 2" xfId="7558"/>
    <cellStyle name="Обычный 8 4 8 3" xfId="5604"/>
    <cellStyle name="Обычный 8 4 9" xfId="1731"/>
    <cellStyle name="Обычный 8 4 9 2" xfId="5605"/>
    <cellStyle name="Обычный 8 4 9 2 2" xfId="7559"/>
    <cellStyle name="Обычный 8 4 9 3" xfId="5606"/>
    <cellStyle name="Обычный 8 4_Расчет скв 3П Яснополянской  БУ румынский  без ВСП от 09082019" xfId="2051"/>
    <cellStyle name="Обычный 8 5" xfId="1732"/>
    <cellStyle name="Обычный 8 5 2" xfId="1733"/>
    <cellStyle name="Обычный 8 5 2 2" xfId="1734"/>
    <cellStyle name="Обычный 8 5 2 2 2" xfId="1735"/>
    <cellStyle name="Обычный 8 5 2 2 2 2" xfId="5607"/>
    <cellStyle name="Обычный 8 5 2 2 2 2 2" xfId="7560"/>
    <cellStyle name="Обычный 8 5 2 2 2 3" xfId="5608"/>
    <cellStyle name="Обычный 8 5 2 2 3" xfId="5609"/>
    <cellStyle name="Обычный 8 5 2 2 3 2" xfId="7561"/>
    <cellStyle name="Обычный 8 5 2 2 4" xfId="5610"/>
    <cellStyle name="Обычный 8 5 2 3" xfId="1736"/>
    <cellStyle name="Обычный 8 5 2 3 2" xfId="5611"/>
    <cellStyle name="Обычный 8 5 2 3 2 2" xfId="7562"/>
    <cellStyle name="Обычный 8 5 2 3 3" xfId="5612"/>
    <cellStyle name="Обычный 8 5 2 4" xfId="1737"/>
    <cellStyle name="Обычный 8 5 2 4 2" xfId="5613"/>
    <cellStyle name="Обычный 8 5 2 4 2 2" xfId="7563"/>
    <cellStyle name="Обычный 8 5 2 4 3" xfId="5614"/>
    <cellStyle name="Обычный 8 5 2 5" xfId="1738"/>
    <cellStyle name="Обычный 8 5 2 5 2" xfId="5615"/>
    <cellStyle name="Обычный 8 5 2 5 2 2" xfId="7564"/>
    <cellStyle name="Обычный 8 5 2 5 3" xfId="5616"/>
    <cellStyle name="Обычный 8 5 2 6" xfId="2333"/>
    <cellStyle name="Обычный 8 5 2 6 2" xfId="5617"/>
    <cellStyle name="Обычный 8 5 2 7" xfId="5618"/>
    <cellStyle name="Обычный 8 5 2 8" xfId="7565"/>
    <cellStyle name="Обычный 8 5 3" xfId="1739"/>
    <cellStyle name="Обычный 8 5 3 2" xfId="1740"/>
    <cellStyle name="Обычный 8 5 3 2 2" xfId="5619"/>
    <cellStyle name="Обычный 8 5 3 2 2 2" xfId="7566"/>
    <cellStyle name="Обычный 8 5 3 2 3" xfId="5620"/>
    <cellStyle name="Обычный 8 5 3 3" xfId="5621"/>
    <cellStyle name="Обычный 8 5 3 3 2" xfId="7567"/>
    <cellStyle name="Обычный 8 5 3 4" xfId="5622"/>
    <cellStyle name="Обычный 8 5 4" xfId="1741"/>
    <cellStyle name="Обычный 8 5 4 2" xfId="5623"/>
    <cellStyle name="Обычный 8 5 4 2 2" xfId="7568"/>
    <cellStyle name="Обычный 8 5 4 3" xfId="5624"/>
    <cellStyle name="Обычный 8 5 5" xfId="1742"/>
    <cellStyle name="Обычный 8 5 5 2" xfId="5625"/>
    <cellStyle name="Обычный 8 5 5 2 2" xfId="7569"/>
    <cellStyle name="Обычный 8 5 5 3" xfId="5626"/>
    <cellStyle name="Обычный 8 5 6" xfId="1743"/>
    <cellStyle name="Обычный 8 5 6 2" xfId="5627"/>
    <cellStyle name="Обычный 8 5 6 2 2" xfId="7570"/>
    <cellStyle name="Обычный 8 5 6 3" xfId="5628"/>
    <cellStyle name="Обычный 8 5 7" xfId="2334"/>
    <cellStyle name="Обычный 8 5 7 2" xfId="5629"/>
    <cellStyle name="Обычный 8 5 8" xfId="5630"/>
    <cellStyle name="Обычный 8 5 9" xfId="7571"/>
    <cellStyle name="Обычный 8 5_Расчет скв 3П Яснополянской  БУ румынский  без ВСП от 09082019" xfId="2052"/>
    <cellStyle name="Обычный 8 6" xfId="1744"/>
    <cellStyle name="Обычный 8 6 2" xfId="1745"/>
    <cellStyle name="Обычный 8 6 2 2" xfId="1746"/>
    <cellStyle name="Обычный 8 6 2 2 2" xfId="5631"/>
    <cellStyle name="Обычный 8 6 2 2 2 2" xfId="7572"/>
    <cellStyle name="Обычный 8 6 2 2 3" xfId="5632"/>
    <cellStyle name="Обычный 8 6 2 3" xfId="5633"/>
    <cellStyle name="Обычный 8 6 2 3 2" xfId="7573"/>
    <cellStyle name="Обычный 8 6 2 4" xfId="5634"/>
    <cellStyle name="Обычный 8 6 3" xfId="1747"/>
    <cellStyle name="Обычный 8 6 3 2" xfId="5635"/>
    <cellStyle name="Обычный 8 6 3 2 2" xfId="7574"/>
    <cellStyle name="Обычный 8 6 3 3" xfId="5636"/>
    <cellStyle name="Обычный 8 6 4" xfId="1748"/>
    <cellStyle name="Обычный 8 6 4 2" xfId="5637"/>
    <cellStyle name="Обычный 8 6 4 2 2" xfId="7575"/>
    <cellStyle name="Обычный 8 6 4 3" xfId="5638"/>
    <cellStyle name="Обычный 8 6 5" xfId="1749"/>
    <cellStyle name="Обычный 8 6 5 2" xfId="5639"/>
    <cellStyle name="Обычный 8 6 5 2 2" xfId="7576"/>
    <cellStyle name="Обычный 8 6 5 3" xfId="5640"/>
    <cellStyle name="Обычный 8 6 6" xfId="2335"/>
    <cellStyle name="Обычный 8 6 6 2" xfId="5641"/>
    <cellStyle name="Обычный 8 6 7" xfId="5642"/>
    <cellStyle name="Обычный 8 6 8" xfId="7577"/>
    <cellStyle name="Обычный 8 7" xfId="1750"/>
    <cellStyle name="Обычный 8 7 2" xfId="1751"/>
    <cellStyle name="Обычный 8 7 2 2" xfId="1752"/>
    <cellStyle name="Обычный 8 7 2 2 2" xfId="5643"/>
    <cellStyle name="Обычный 8 7 2 2 2 2" xfId="7578"/>
    <cellStyle name="Обычный 8 7 2 2 3" xfId="5644"/>
    <cellStyle name="Обычный 8 7 2 3" xfId="5645"/>
    <cellStyle name="Обычный 8 7 2 3 2" xfId="7579"/>
    <cellStyle name="Обычный 8 7 2 4" xfId="5646"/>
    <cellStyle name="Обычный 8 7 3" xfId="1753"/>
    <cellStyle name="Обычный 8 7 3 2" xfId="5647"/>
    <cellStyle name="Обычный 8 7 3 2 2" xfId="7580"/>
    <cellStyle name="Обычный 8 7 3 3" xfId="5648"/>
    <cellStyle name="Обычный 8 7 4" xfId="1754"/>
    <cellStyle name="Обычный 8 7 4 2" xfId="5649"/>
    <cellStyle name="Обычный 8 7 4 2 2" xfId="7581"/>
    <cellStyle name="Обычный 8 7 4 3" xfId="5650"/>
    <cellStyle name="Обычный 8 7 5" xfId="1755"/>
    <cellStyle name="Обычный 8 7 5 2" xfId="5651"/>
    <cellStyle name="Обычный 8 7 5 2 2" xfId="7582"/>
    <cellStyle name="Обычный 8 7 5 3" xfId="5652"/>
    <cellStyle name="Обычный 8 7 6" xfId="2336"/>
    <cellStyle name="Обычный 8 7 6 2" xfId="5653"/>
    <cellStyle name="Обычный 8 7 7" xfId="5654"/>
    <cellStyle name="Обычный 8 7 8" xfId="7583"/>
    <cellStyle name="Обычный 8 8" xfId="1756"/>
    <cellStyle name="Обычный 8 8 2" xfId="1757"/>
    <cellStyle name="Обычный 8 8 2 2" xfId="1758"/>
    <cellStyle name="Обычный 8 8 2 2 2" xfId="5655"/>
    <cellStyle name="Обычный 8 8 2 2 2 2" xfId="7584"/>
    <cellStyle name="Обычный 8 8 2 2 3" xfId="5656"/>
    <cellStyle name="Обычный 8 8 2 3" xfId="5657"/>
    <cellStyle name="Обычный 8 8 2 3 2" xfId="7585"/>
    <cellStyle name="Обычный 8 8 2 4" xfId="5658"/>
    <cellStyle name="Обычный 8 8 3" xfId="1759"/>
    <cellStyle name="Обычный 8 8 3 2" xfId="5659"/>
    <cellStyle name="Обычный 8 8 3 2 2" xfId="7586"/>
    <cellStyle name="Обычный 8 8 3 3" xfId="5660"/>
    <cellStyle name="Обычный 8 8 4" xfId="1760"/>
    <cellStyle name="Обычный 8 8 4 2" xfId="5661"/>
    <cellStyle name="Обычный 8 8 4 2 2" xfId="7587"/>
    <cellStyle name="Обычный 8 8 4 3" xfId="5662"/>
    <cellStyle name="Обычный 8 8 5" xfId="1761"/>
    <cellStyle name="Обычный 8 8 5 2" xfId="5663"/>
    <cellStyle name="Обычный 8 8 5 2 2" xfId="7588"/>
    <cellStyle name="Обычный 8 8 5 3" xfId="5664"/>
    <cellStyle name="Обычный 8 8 6" xfId="2337"/>
    <cellStyle name="Обычный 8 8 6 2" xfId="5665"/>
    <cellStyle name="Обычный 8 8 7" xfId="5666"/>
    <cellStyle name="Обычный 8 8 8" xfId="7589"/>
    <cellStyle name="Обычный 8 9" xfId="1762"/>
    <cellStyle name="Обычный 8 9 2" xfId="1763"/>
    <cellStyle name="Обычный 8 9 2 2" xfId="5667"/>
    <cellStyle name="Обычный 8 9 2 2 2" xfId="7590"/>
    <cellStyle name="Обычный 8 9 2 3" xfId="5668"/>
    <cellStyle name="Обычный 8 9 3" xfId="5669"/>
    <cellStyle name="Обычный 8 9 3 2" xfId="7591"/>
    <cellStyle name="Обычный 8 9 4" xfId="5670"/>
    <cellStyle name="Обычный 8_Расчет скв 3П Яснополянской  БУ румынский  без ВСП от 09082019" xfId="2053"/>
    <cellStyle name="Обычный 82" xfId="1764"/>
    <cellStyle name="Обычный 9" xfId="1765"/>
    <cellStyle name="Обычный 9 10" xfId="1766"/>
    <cellStyle name="Обычный 9 10 2" xfId="5671"/>
    <cellStyle name="Обычный 9 10 2 2" xfId="7592"/>
    <cellStyle name="Обычный 9 10 3" xfId="5672"/>
    <cellStyle name="Обычный 9 11" xfId="1767"/>
    <cellStyle name="Обычный 9 11 2" xfId="5673"/>
    <cellStyle name="Обычный 9 11 2 2" xfId="7593"/>
    <cellStyle name="Обычный 9 11 3" xfId="5674"/>
    <cellStyle name="Обычный 9 12" xfId="1768"/>
    <cellStyle name="Обычный 9 12 2" xfId="5675"/>
    <cellStyle name="Обычный 9 12 2 2" xfId="7594"/>
    <cellStyle name="Обычный 9 12 3" xfId="5676"/>
    <cellStyle name="Обычный 9 13" xfId="1769"/>
    <cellStyle name="Обычный 9 13 2" xfId="5677"/>
    <cellStyle name="Обычный 9 13 2 2" xfId="7595"/>
    <cellStyle name="Обычный 9 13 3" xfId="5678"/>
    <cellStyle name="Обычный 9 14" xfId="2338"/>
    <cellStyle name="Обычный 9 2" xfId="1770"/>
    <cellStyle name="Обычный 9 2 10" xfId="2339"/>
    <cellStyle name="Обычный 9 2 10 2" xfId="5679"/>
    <cellStyle name="Обычный 9 2 11" xfId="5680"/>
    <cellStyle name="Обычный 9 2 12" xfId="7596"/>
    <cellStyle name="Обычный 9 2 2" xfId="1771"/>
    <cellStyle name="Обычный 9 2 2 2" xfId="1772"/>
    <cellStyle name="Обычный 9 2 2 2 2" xfId="1773"/>
    <cellStyle name="Обычный 9 2 2 2 2 2" xfId="1774"/>
    <cellStyle name="Обычный 9 2 2 2 2 2 2" xfId="5681"/>
    <cellStyle name="Обычный 9 2 2 2 2 2 2 2" xfId="7597"/>
    <cellStyle name="Обычный 9 2 2 2 2 2 3" xfId="5682"/>
    <cellStyle name="Обычный 9 2 2 2 2 3" xfId="5683"/>
    <cellStyle name="Обычный 9 2 2 2 2 3 2" xfId="7598"/>
    <cellStyle name="Обычный 9 2 2 2 2 4" xfId="5684"/>
    <cellStyle name="Обычный 9 2 2 2 3" xfId="1775"/>
    <cellStyle name="Обычный 9 2 2 2 3 2" xfId="5685"/>
    <cellStyle name="Обычный 9 2 2 2 3 2 2" xfId="7599"/>
    <cellStyle name="Обычный 9 2 2 2 3 3" xfId="5686"/>
    <cellStyle name="Обычный 9 2 2 2 4" xfId="1776"/>
    <cellStyle name="Обычный 9 2 2 2 4 2" xfId="5687"/>
    <cellStyle name="Обычный 9 2 2 2 4 2 2" xfId="7600"/>
    <cellStyle name="Обычный 9 2 2 2 4 3" xfId="5688"/>
    <cellStyle name="Обычный 9 2 2 2 5" xfId="1777"/>
    <cellStyle name="Обычный 9 2 2 2 5 2" xfId="5689"/>
    <cellStyle name="Обычный 9 2 2 2 5 2 2" xfId="7601"/>
    <cellStyle name="Обычный 9 2 2 2 5 3" xfId="5690"/>
    <cellStyle name="Обычный 9 2 2 2 6" xfId="2340"/>
    <cellStyle name="Обычный 9 2 2 2 6 2" xfId="5691"/>
    <cellStyle name="Обычный 9 2 2 2 7" xfId="5692"/>
    <cellStyle name="Обычный 9 2 2 2 8" xfId="7602"/>
    <cellStyle name="Обычный 9 2 2 3" xfId="1778"/>
    <cellStyle name="Обычный 9 2 2 3 2" xfId="1779"/>
    <cellStyle name="Обычный 9 2 2 3 2 2" xfId="5693"/>
    <cellStyle name="Обычный 9 2 2 3 2 2 2" xfId="7603"/>
    <cellStyle name="Обычный 9 2 2 3 2 3" xfId="5694"/>
    <cellStyle name="Обычный 9 2 2 3 3" xfId="5695"/>
    <cellStyle name="Обычный 9 2 2 3 3 2" xfId="7604"/>
    <cellStyle name="Обычный 9 2 2 3 4" xfId="5696"/>
    <cellStyle name="Обычный 9 2 2 4" xfId="1780"/>
    <cellStyle name="Обычный 9 2 2 4 2" xfId="5697"/>
    <cellStyle name="Обычный 9 2 2 4 2 2" xfId="7605"/>
    <cellStyle name="Обычный 9 2 2 4 3" xfId="5698"/>
    <cellStyle name="Обычный 9 2 2 5" xfId="1781"/>
    <cellStyle name="Обычный 9 2 2 5 2" xfId="5699"/>
    <cellStyle name="Обычный 9 2 2 5 2 2" xfId="7606"/>
    <cellStyle name="Обычный 9 2 2 5 3" xfId="5700"/>
    <cellStyle name="Обычный 9 2 2 6" xfId="1782"/>
    <cellStyle name="Обычный 9 2 2 6 2" xfId="5701"/>
    <cellStyle name="Обычный 9 2 2 6 2 2" xfId="7607"/>
    <cellStyle name="Обычный 9 2 2 6 3" xfId="5702"/>
    <cellStyle name="Обычный 9 2 2 7" xfId="2341"/>
    <cellStyle name="Обычный 9 2 2 7 2" xfId="5703"/>
    <cellStyle name="Обычный 9 2 2 8" xfId="5704"/>
    <cellStyle name="Обычный 9 2 2 9" xfId="7608"/>
    <cellStyle name="Обычный 9 2 2_Расчет скв 3П Яснополянской  БУ румынский  без ВСП от 09082019" xfId="2054"/>
    <cellStyle name="Обычный 9 2 3" xfId="1783"/>
    <cellStyle name="Обычный 9 2 3 2" xfId="1784"/>
    <cellStyle name="Обычный 9 2 3 2 2" xfId="1785"/>
    <cellStyle name="Обычный 9 2 3 2 2 2" xfId="5705"/>
    <cellStyle name="Обычный 9 2 3 2 2 2 2" xfId="7609"/>
    <cellStyle name="Обычный 9 2 3 2 2 3" xfId="5706"/>
    <cellStyle name="Обычный 9 2 3 2 3" xfId="5707"/>
    <cellStyle name="Обычный 9 2 3 2 3 2" xfId="7610"/>
    <cellStyle name="Обычный 9 2 3 2 4" xfId="5708"/>
    <cellStyle name="Обычный 9 2 3 3" xfId="1786"/>
    <cellStyle name="Обычный 9 2 3 3 2" xfId="5709"/>
    <cellStyle name="Обычный 9 2 3 3 2 2" xfId="7611"/>
    <cellStyle name="Обычный 9 2 3 3 3" xfId="5710"/>
    <cellStyle name="Обычный 9 2 3 4" xfId="1787"/>
    <cellStyle name="Обычный 9 2 3 4 2" xfId="5711"/>
    <cellStyle name="Обычный 9 2 3 4 2 2" xfId="7612"/>
    <cellStyle name="Обычный 9 2 3 4 3" xfId="5712"/>
    <cellStyle name="Обычный 9 2 3 5" xfId="1788"/>
    <cellStyle name="Обычный 9 2 3 5 2" xfId="5713"/>
    <cellStyle name="Обычный 9 2 3 5 2 2" xfId="7613"/>
    <cellStyle name="Обычный 9 2 3 5 3" xfId="5714"/>
    <cellStyle name="Обычный 9 2 3 6" xfId="2342"/>
    <cellStyle name="Обычный 9 2 3 6 2" xfId="5715"/>
    <cellStyle name="Обычный 9 2 3 7" xfId="5716"/>
    <cellStyle name="Обычный 9 2 3 8" xfId="7614"/>
    <cellStyle name="Обычный 9 2 4" xfId="1789"/>
    <cellStyle name="Обычный 9 2 4 2" xfId="1790"/>
    <cellStyle name="Обычный 9 2 4 2 2" xfId="1791"/>
    <cellStyle name="Обычный 9 2 4 2 2 2" xfId="5717"/>
    <cellStyle name="Обычный 9 2 4 2 2 2 2" xfId="7615"/>
    <cellStyle name="Обычный 9 2 4 2 2 3" xfId="5718"/>
    <cellStyle name="Обычный 9 2 4 2 3" xfId="5719"/>
    <cellStyle name="Обычный 9 2 4 2 3 2" xfId="7616"/>
    <cellStyle name="Обычный 9 2 4 2 4" xfId="5720"/>
    <cellStyle name="Обычный 9 2 4 3" xfId="1792"/>
    <cellStyle name="Обычный 9 2 4 3 2" xfId="5721"/>
    <cellStyle name="Обычный 9 2 4 3 2 2" xfId="7617"/>
    <cellStyle name="Обычный 9 2 4 3 3" xfId="5722"/>
    <cellStyle name="Обычный 9 2 4 4" xfId="1793"/>
    <cellStyle name="Обычный 9 2 4 4 2" xfId="5723"/>
    <cellStyle name="Обычный 9 2 4 4 2 2" xfId="7618"/>
    <cellStyle name="Обычный 9 2 4 4 3" xfId="5724"/>
    <cellStyle name="Обычный 9 2 4 5" xfId="1794"/>
    <cellStyle name="Обычный 9 2 4 5 2" xfId="5725"/>
    <cellStyle name="Обычный 9 2 4 5 2 2" xfId="7619"/>
    <cellStyle name="Обычный 9 2 4 5 3" xfId="5726"/>
    <cellStyle name="Обычный 9 2 4 6" xfId="2343"/>
    <cellStyle name="Обычный 9 2 4 6 2" xfId="5727"/>
    <cellStyle name="Обычный 9 2 4 7" xfId="5728"/>
    <cellStyle name="Обычный 9 2 4 8" xfId="7620"/>
    <cellStyle name="Обычный 9 2 5" xfId="1795"/>
    <cellStyle name="Обычный 9 2 5 2" xfId="1796"/>
    <cellStyle name="Обычный 9 2 5 2 2" xfId="1797"/>
    <cellStyle name="Обычный 9 2 5 2 2 2" xfId="5729"/>
    <cellStyle name="Обычный 9 2 5 2 2 2 2" xfId="7621"/>
    <cellStyle name="Обычный 9 2 5 2 2 3" xfId="5730"/>
    <cellStyle name="Обычный 9 2 5 2 3" xfId="5731"/>
    <cellStyle name="Обычный 9 2 5 2 3 2" xfId="7622"/>
    <cellStyle name="Обычный 9 2 5 2 4" xfId="5732"/>
    <cellStyle name="Обычный 9 2 5 3" xfId="1798"/>
    <cellStyle name="Обычный 9 2 5 3 2" xfId="5733"/>
    <cellStyle name="Обычный 9 2 5 3 2 2" xfId="7623"/>
    <cellStyle name="Обычный 9 2 5 3 3" xfId="5734"/>
    <cellStyle name="Обычный 9 2 5 4" xfId="1799"/>
    <cellStyle name="Обычный 9 2 5 4 2" xfId="5735"/>
    <cellStyle name="Обычный 9 2 5 4 2 2" xfId="7624"/>
    <cellStyle name="Обычный 9 2 5 4 3" xfId="5736"/>
    <cellStyle name="Обычный 9 2 5 5" xfId="1800"/>
    <cellStyle name="Обычный 9 2 5 5 2" xfId="5737"/>
    <cellStyle name="Обычный 9 2 5 5 2 2" xfId="7625"/>
    <cellStyle name="Обычный 9 2 5 5 3" xfId="5738"/>
    <cellStyle name="Обычный 9 2 5 6" xfId="2344"/>
    <cellStyle name="Обычный 9 2 5 6 2" xfId="5739"/>
    <cellStyle name="Обычный 9 2 5 7" xfId="5740"/>
    <cellStyle name="Обычный 9 2 5 8" xfId="7626"/>
    <cellStyle name="Обычный 9 2 6" xfId="1801"/>
    <cellStyle name="Обычный 9 2 6 2" xfId="1802"/>
    <cellStyle name="Обычный 9 2 6 2 2" xfId="5741"/>
    <cellStyle name="Обычный 9 2 6 2 2 2" xfId="7627"/>
    <cellStyle name="Обычный 9 2 6 2 3" xfId="5742"/>
    <cellStyle name="Обычный 9 2 6 3" xfId="5743"/>
    <cellStyle name="Обычный 9 2 6 3 2" xfId="7628"/>
    <cellStyle name="Обычный 9 2 6 4" xfId="5744"/>
    <cellStyle name="Обычный 9 2 7" xfId="1803"/>
    <cellStyle name="Обычный 9 2 7 2" xfId="5745"/>
    <cellStyle name="Обычный 9 2 7 2 2" xfId="7629"/>
    <cellStyle name="Обычный 9 2 7 3" xfId="5746"/>
    <cellStyle name="Обычный 9 2 8" xfId="1804"/>
    <cellStyle name="Обычный 9 2 8 2" xfId="5747"/>
    <cellStyle name="Обычный 9 2 8 2 2" xfId="7630"/>
    <cellStyle name="Обычный 9 2 8 3" xfId="5748"/>
    <cellStyle name="Обычный 9 2 9" xfId="1805"/>
    <cellStyle name="Обычный 9 2 9 2" xfId="5749"/>
    <cellStyle name="Обычный 9 2 9 2 2" xfId="7631"/>
    <cellStyle name="Обычный 9 2 9 3" xfId="5750"/>
    <cellStyle name="Обычный 9 2_Расчет скв 3П Яснополянской  БУ румынский  без ВСП от 09082019" xfId="2055"/>
    <cellStyle name="Обычный 9 3" xfId="1806"/>
    <cellStyle name="Обычный 9 3 10" xfId="2345"/>
    <cellStyle name="Обычный 9 3 10 2" xfId="5751"/>
    <cellStyle name="Обычный 9 3 11" xfId="5752"/>
    <cellStyle name="Обычный 9 3 12" xfId="7632"/>
    <cellStyle name="Обычный 9 3 2" xfId="1807"/>
    <cellStyle name="Обычный 9 3 2 2" xfId="1808"/>
    <cellStyle name="Обычный 9 3 2 2 2" xfId="1809"/>
    <cellStyle name="Обычный 9 3 2 2 2 2" xfId="1810"/>
    <cellStyle name="Обычный 9 3 2 2 2 2 2" xfId="5753"/>
    <cellStyle name="Обычный 9 3 2 2 2 2 2 2" xfId="7633"/>
    <cellStyle name="Обычный 9 3 2 2 2 2 3" xfId="5754"/>
    <cellStyle name="Обычный 9 3 2 2 2 3" xfId="5755"/>
    <cellStyle name="Обычный 9 3 2 2 2 3 2" xfId="7634"/>
    <cellStyle name="Обычный 9 3 2 2 2 4" xfId="5756"/>
    <cellStyle name="Обычный 9 3 2 2 3" xfId="1811"/>
    <cellStyle name="Обычный 9 3 2 2 3 2" xfId="5757"/>
    <cellStyle name="Обычный 9 3 2 2 3 2 2" xfId="7635"/>
    <cellStyle name="Обычный 9 3 2 2 3 3" xfId="5758"/>
    <cellStyle name="Обычный 9 3 2 2 4" xfId="1812"/>
    <cellStyle name="Обычный 9 3 2 2 4 2" xfId="5759"/>
    <cellStyle name="Обычный 9 3 2 2 4 2 2" xfId="7636"/>
    <cellStyle name="Обычный 9 3 2 2 4 3" xfId="5760"/>
    <cellStyle name="Обычный 9 3 2 2 5" xfId="1813"/>
    <cellStyle name="Обычный 9 3 2 2 5 2" xfId="5761"/>
    <cellStyle name="Обычный 9 3 2 2 5 2 2" xfId="7637"/>
    <cellStyle name="Обычный 9 3 2 2 5 3" xfId="5762"/>
    <cellStyle name="Обычный 9 3 2 2 6" xfId="2346"/>
    <cellStyle name="Обычный 9 3 2 2 6 2" xfId="5763"/>
    <cellStyle name="Обычный 9 3 2 2 7" xfId="5764"/>
    <cellStyle name="Обычный 9 3 2 2 8" xfId="7638"/>
    <cellStyle name="Обычный 9 3 2 3" xfId="1814"/>
    <cellStyle name="Обычный 9 3 2 3 2" xfId="1815"/>
    <cellStyle name="Обычный 9 3 2 3 2 2" xfId="5765"/>
    <cellStyle name="Обычный 9 3 2 3 2 2 2" xfId="7639"/>
    <cellStyle name="Обычный 9 3 2 3 2 3" xfId="5766"/>
    <cellStyle name="Обычный 9 3 2 3 3" xfId="5767"/>
    <cellStyle name="Обычный 9 3 2 3 3 2" xfId="7640"/>
    <cellStyle name="Обычный 9 3 2 3 4" xfId="5768"/>
    <cellStyle name="Обычный 9 3 2 4" xfId="1816"/>
    <cellStyle name="Обычный 9 3 2 4 2" xfId="5769"/>
    <cellStyle name="Обычный 9 3 2 4 2 2" xfId="7641"/>
    <cellStyle name="Обычный 9 3 2 4 3" xfId="5770"/>
    <cellStyle name="Обычный 9 3 2 5" xfId="1817"/>
    <cellStyle name="Обычный 9 3 2 5 2" xfId="5771"/>
    <cellStyle name="Обычный 9 3 2 5 2 2" xfId="7642"/>
    <cellStyle name="Обычный 9 3 2 5 3" xfId="5772"/>
    <cellStyle name="Обычный 9 3 2 6" xfId="1818"/>
    <cellStyle name="Обычный 9 3 2 6 2" xfId="5773"/>
    <cellStyle name="Обычный 9 3 2 6 2 2" xfId="7643"/>
    <cellStyle name="Обычный 9 3 2 6 3" xfId="5774"/>
    <cellStyle name="Обычный 9 3 2 7" xfId="2347"/>
    <cellStyle name="Обычный 9 3 2 7 2" xfId="5775"/>
    <cellStyle name="Обычный 9 3 2 8" xfId="5776"/>
    <cellStyle name="Обычный 9 3 2 9" xfId="7644"/>
    <cellStyle name="Обычный 9 3 2_Расчет скв 3П Яснополянской  БУ румынский  без ВСП от 09082019" xfId="2056"/>
    <cellStyle name="Обычный 9 3 3" xfId="1819"/>
    <cellStyle name="Обычный 9 3 3 2" xfId="1820"/>
    <cellStyle name="Обычный 9 3 3 2 2" xfId="1821"/>
    <cellStyle name="Обычный 9 3 3 2 2 2" xfId="5777"/>
    <cellStyle name="Обычный 9 3 3 2 2 2 2" xfId="7645"/>
    <cellStyle name="Обычный 9 3 3 2 2 3" xfId="5778"/>
    <cellStyle name="Обычный 9 3 3 2 3" xfId="5779"/>
    <cellStyle name="Обычный 9 3 3 2 3 2" xfId="7646"/>
    <cellStyle name="Обычный 9 3 3 2 4" xfId="5780"/>
    <cellStyle name="Обычный 9 3 3 3" xfId="1822"/>
    <cellStyle name="Обычный 9 3 3 3 2" xfId="5781"/>
    <cellStyle name="Обычный 9 3 3 3 2 2" xfId="7647"/>
    <cellStyle name="Обычный 9 3 3 3 3" xfId="5782"/>
    <cellStyle name="Обычный 9 3 3 4" xfId="1823"/>
    <cellStyle name="Обычный 9 3 3 4 2" xfId="5783"/>
    <cellStyle name="Обычный 9 3 3 4 2 2" xfId="7648"/>
    <cellStyle name="Обычный 9 3 3 4 3" xfId="5784"/>
    <cellStyle name="Обычный 9 3 3 5" xfId="1824"/>
    <cellStyle name="Обычный 9 3 3 5 2" xfId="5785"/>
    <cellStyle name="Обычный 9 3 3 5 2 2" xfId="7649"/>
    <cellStyle name="Обычный 9 3 3 5 3" xfId="5786"/>
    <cellStyle name="Обычный 9 3 3 6" xfId="2348"/>
    <cellStyle name="Обычный 9 3 3 6 2" xfId="5787"/>
    <cellStyle name="Обычный 9 3 3 7" xfId="5788"/>
    <cellStyle name="Обычный 9 3 3 8" xfId="7650"/>
    <cellStyle name="Обычный 9 3 4" xfId="1825"/>
    <cellStyle name="Обычный 9 3 4 2" xfId="1826"/>
    <cellStyle name="Обычный 9 3 4 2 2" xfId="1827"/>
    <cellStyle name="Обычный 9 3 4 2 2 2" xfId="5789"/>
    <cellStyle name="Обычный 9 3 4 2 2 2 2" xfId="7651"/>
    <cellStyle name="Обычный 9 3 4 2 2 3" xfId="5790"/>
    <cellStyle name="Обычный 9 3 4 2 3" xfId="5791"/>
    <cellStyle name="Обычный 9 3 4 2 3 2" xfId="7652"/>
    <cellStyle name="Обычный 9 3 4 2 4" xfId="5792"/>
    <cellStyle name="Обычный 9 3 4 3" xfId="1828"/>
    <cellStyle name="Обычный 9 3 4 3 2" xfId="5793"/>
    <cellStyle name="Обычный 9 3 4 3 2 2" xfId="7653"/>
    <cellStyle name="Обычный 9 3 4 3 3" xfId="5794"/>
    <cellStyle name="Обычный 9 3 4 4" xfId="1829"/>
    <cellStyle name="Обычный 9 3 4 4 2" xfId="5795"/>
    <cellStyle name="Обычный 9 3 4 4 2 2" xfId="7654"/>
    <cellStyle name="Обычный 9 3 4 4 3" xfId="5796"/>
    <cellStyle name="Обычный 9 3 4 5" xfId="1830"/>
    <cellStyle name="Обычный 9 3 4 5 2" xfId="5797"/>
    <cellStyle name="Обычный 9 3 4 5 2 2" xfId="7655"/>
    <cellStyle name="Обычный 9 3 4 5 3" xfId="5798"/>
    <cellStyle name="Обычный 9 3 4 6" xfId="2349"/>
    <cellStyle name="Обычный 9 3 4 6 2" xfId="5799"/>
    <cellStyle name="Обычный 9 3 4 7" xfId="5800"/>
    <cellStyle name="Обычный 9 3 4 8" xfId="7656"/>
    <cellStyle name="Обычный 9 3 5" xfId="1831"/>
    <cellStyle name="Обычный 9 3 5 2" xfId="1832"/>
    <cellStyle name="Обычный 9 3 5 2 2" xfId="1833"/>
    <cellStyle name="Обычный 9 3 5 2 2 2" xfId="5801"/>
    <cellStyle name="Обычный 9 3 5 2 2 2 2" xfId="7657"/>
    <cellStyle name="Обычный 9 3 5 2 2 3" xfId="5802"/>
    <cellStyle name="Обычный 9 3 5 2 3" xfId="5803"/>
    <cellStyle name="Обычный 9 3 5 2 3 2" xfId="7658"/>
    <cellStyle name="Обычный 9 3 5 2 4" xfId="5804"/>
    <cellStyle name="Обычный 9 3 5 3" xfId="1834"/>
    <cellStyle name="Обычный 9 3 5 3 2" xfId="5805"/>
    <cellStyle name="Обычный 9 3 5 3 2 2" xfId="7659"/>
    <cellStyle name="Обычный 9 3 5 3 3" xfId="5806"/>
    <cellStyle name="Обычный 9 3 5 4" xfId="1835"/>
    <cellStyle name="Обычный 9 3 5 4 2" xfId="5807"/>
    <cellStyle name="Обычный 9 3 5 4 2 2" xfId="7660"/>
    <cellStyle name="Обычный 9 3 5 4 3" xfId="5808"/>
    <cellStyle name="Обычный 9 3 5 5" xfId="1836"/>
    <cellStyle name="Обычный 9 3 5 5 2" xfId="5809"/>
    <cellStyle name="Обычный 9 3 5 5 2 2" xfId="7661"/>
    <cellStyle name="Обычный 9 3 5 5 3" xfId="5810"/>
    <cellStyle name="Обычный 9 3 5 6" xfId="2350"/>
    <cellStyle name="Обычный 9 3 5 6 2" xfId="5811"/>
    <cellStyle name="Обычный 9 3 5 7" xfId="5812"/>
    <cellStyle name="Обычный 9 3 5 8" xfId="7662"/>
    <cellStyle name="Обычный 9 3 6" xfId="1837"/>
    <cellStyle name="Обычный 9 3 6 2" xfId="1838"/>
    <cellStyle name="Обычный 9 3 6 2 2" xfId="5813"/>
    <cellStyle name="Обычный 9 3 6 2 2 2" xfId="7663"/>
    <cellStyle name="Обычный 9 3 6 2 3" xfId="5814"/>
    <cellStyle name="Обычный 9 3 6 3" xfId="5815"/>
    <cellStyle name="Обычный 9 3 6 3 2" xfId="7664"/>
    <cellStyle name="Обычный 9 3 6 4" xfId="5816"/>
    <cellStyle name="Обычный 9 3 7" xfId="1839"/>
    <cellStyle name="Обычный 9 3 7 2" xfId="5817"/>
    <cellStyle name="Обычный 9 3 7 2 2" xfId="7665"/>
    <cellStyle name="Обычный 9 3 7 3" xfId="5818"/>
    <cellStyle name="Обычный 9 3 8" xfId="1840"/>
    <cellStyle name="Обычный 9 3 8 2" xfId="5819"/>
    <cellStyle name="Обычный 9 3 8 2 2" xfId="7666"/>
    <cellStyle name="Обычный 9 3 8 3" xfId="5820"/>
    <cellStyle name="Обычный 9 3 9" xfId="1841"/>
    <cellStyle name="Обычный 9 3 9 2" xfId="5821"/>
    <cellStyle name="Обычный 9 3 9 2 2" xfId="7667"/>
    <cellStyle name="Обычный 9 3 9 3" xfId="5822"/>
    <cellStyle name="Обычный 9 3_Расчет скв 3П Яснополянской  БУ румынский  без ВСП от 09082019" xfId="2057"/>
    <cellStyle name="Обычный 9 4" xfId="1842"/>
    <cellStyle name="Обычный 9 4 10" xfId="2351"/>
    <cellStyle name="Обычный 9 4 10 2" xfId="5823"/>
    <cellStyle name="Обычный 9 4 11" xfId="5824"/>
    <cellStyle name="Обычный 9 4 12" xfId="7668"/>
    <cellStyle name="Обычный 9 4 2" xfId="1843"/>
    <cellStyle name="Обычный 9 4 2 2" xfId="1844"/>
    <cellStyle name="Обычный 9 4 2 2 2" xfId="1845"/>
    <cellStyle name="Обычный 9 4 2 2 2 2" xfId="1846"/>
    <cellStyle name="Обычный 9 4 2 2 2 2 2" xfId="5825"/>
    <cellStyle name="Обычный 9 4 2 2 2 2 2 2" xfId="7669"/>
    <cellStyle name="Обычный 9 4 2 2 2 2 3" xfId="5826"/>
    <cellStyle name="Обычный 9 4 2 2 2 3" xfId="5827"/>
    <cellStyle name="Обычный 9 4 2 2 2 3 2" xfId="7670"/>
    <cellStyle name="Обычный 9 4 2 2 2 4" xfId="5828"/>
    <cellStyle name="Обычный 9 4 2 2 3" xfId="1847"/>
    <cellStyle name="Обычный 9 4 2 2 3 2" xfId="5829"/>
    <cellStyle name="Обычный 9 4 2 2 3 2 2" xfId="7671"/>
    <cellStyle name="Обычный 9 4 2 2 3 3" xfId="5830"/>
    <cellStyle name="Обычный 9 4 2 2 4" xfId="1848"/>
    <cellStyle name="Обычный 9 4 2 2 4 2" xfId="5831"/>
    <cellStyle name="Обычный 9 4 2 2 4 2 2" xfId="7672"/>
    <cellStyle name="Обычный 9 4 2 2 4 3" xfId="5832"/>
    <cellStyle name="Обычный 9 4 2 2 5" xfId="1849"/>
    <cellStyle name="Обычный 9 4 2 2 5 2" xfId="5833"/>
    <cellStyle name="Обычный 9 4 2 2 5 2 2" xfId="7673"/>
    <cellStyle name="Обычный 9 4 2 2 5 3" xfId="5834"/>
    <cellStyle name="Обычный 9 4 2 2 6" xfId="2352"/>
    <cellStyle name="Обычный 9 4 2 2 6 2" xfId="5835"/>
    <cellStyle name="Обычный 9 4 2 2 7" xfId="5836"/>
    <cellStyle name="Обычный 9 4 2 2 8" xfId="7674"/>
    <cellStyle name="Обычный 9 4 2 3" xfId="1850"/>
    <cellStyle name="Обычный 9 4 2 3 2" xfId="1851"/>
    <cellStyle name="Обычный 9 4 2 3 2 2" xfId="5837"/>
    <cellStyle name="Обычный 9 4 2 3 2 2 2" xfId="7675"/>
    <cellStyle name="Обычный 9 4 2 3 2 3" xfId="5838"/>
    <cellStyle name="Обычный 9 4 2 3 3" xfId="5839"/>
    <cellStyle name="Обычный 9 4 2 3 3 2" xfId="7676"/>
    <cellStyle name="Обычный 9 4 2 3 4" xfId="5840"/>
    <cellStyle name="Обычный 9 4 2 4" xfId="1852"/>
    <cellStyle name="Обычный 9 4 2 4 2" xfId="5841"/>
    <cellStyle name="Обычный 9 4 2 4 2 2" xfId="7677"/>
    <cellStyle name="Обычный 9 4 2 4 3" xfId="5842"/>
    <cellStyle name="Обычный 9 4 2 5" xfId="1853"/>
    <cellStyle name="Обычный 9 4 2 5 2" xfId="5843"/>
    <cellStyle name="Обычный 9 4 2 5 2 2" xfId="7678"/>
    <cellStyle name="Обычный 9 4 2 5 3" xfId="5844"/>
    <cellStyle name="Обычный 9 4 2 6" xfId="1854"/>
    <cellStyle name="Обычный 9 4 2 6 2" xfId="5845"/>
    <cellStyle name="Обычный 9 4 2 6 2 2" xfId="7679"/>
    <cellStyle name="Обычный 9 4 2 6 3" xfId="5846"/>
    <cellStyle name="Обычный 9 4 2 7" xfId="2353"/>
    <cellStyle name="Обычный 9 4 2 7 2" xfId="5847"/>
    <cellStyle name="Обычный 9 4 2 8" xfId="5848"/>
    <cellStyle name="Обычный 9 4 2 9" xfId="7680"/>
    <cellStyle name="Обычный 9 4 2_Расчет скв 3П Яснополянской  БУ румынский  без ВСП от 09082019" xfId="2058"/>
    <cellStyle name="Обычный 9 4 3" xfId="1855"/>
    <cellStyle name="Обычный 9 4 3 2" xfId="1856"/>
    <cellStyle name="Обычный 9 4 3 2 2" xfId="1857"/>
    <cellStyle name="Обычный 9 4 3 2 2 2" xfId="5849"/>
    <cellStyle name="Обычный 9 4 3 2 2 2 2" xfId="7681"/>
    <cellStyle name="Обычный 9 4 3 2 2 3" xfId="5850"/>
    <cellStyle name="Обычный 9 4 3 2 3" xfId="5851"/>
    <cellStyle name="Обычный 9 4 3 2 3 2" xfId="7682"/>
    <cellStyle name="Обычный 9 4 3 2 4" xfId="5852"/>
    <cellStyle name="Обычный 9 4 3 3" xfId="1858"/>
    <cellStyle name="Обычный 9 4 3 3 2" xfId="5853"/>
    <cellStyle name="Обычный 9 4 3 3 2 2" xfId="7683"/>
    <cellStyle name="Обычный 9 4 3 3 3" xfId="5854"/>
    <cellStyle name="Обычный 9 4 3 4" xfId="1859"/>
    <cellStyle name="Обычный 9 4 3 4 2" xfId="5855"/>
    <cellStyle name="Обычный 9 4 3 4 2 2" xfId="7684"/>
    <cellStyle name="Обычный 9 4 3 4 3" xfId="5856"/>
    <cellStyle name="Обычный 9 4 3 5" xfId="1860"/>
    <cellStyle name="Обычный 9 4 3 5 2" xfId="5857"/>
    <cellStyle name="Обычный 9 4 3 5 2 2" xfId="7685"/>
    <cellStyle name="Обычный 9 4 3 5 3" xfId="5858"/>
    <cellStyle name="Обычный 9 4 3 6" xfId="2354"/>
    <cellStyle name="Обычный 9 4 3 6 2" xfId="5859"/>
    <cellStyle name="Обычный 9 4 3 7" xfId="5860"/>
    <cellStyle name="Обычный 9 4 3 8" xfId="7686"/>
    <cellStyle name="Обычный 9 4 4" xfId="1861"/>
    <cellStyle name="Обычный 9 4 4 2" xfId="1862"/>
    <cellStyle name="Обычный 9 4 4 2 2" xfId="1863"/>
    <cellStyle name="Обычный 9 4 4 2 2 2" xfId="5861"/>
    <cellStyle name="Обычный 9 4 4 2 2 2 2" xfId="7687"/>
    <cellStyle name="Обычный 9 4 4 2 2 3" xfId="5862"/>
    <cellStyle name="Обычный 9 4 4 2 3" xfId="5863"/>
    <cellStyle name="Обычный 9 4 4 2 3 2" xfId="7688"/>
    <cellStyle name="Обычный 9 4 4 2 4" xfId="5864"/>
    <cellStyle name="Обычный 9 4 4 3" xfId="1864"/>
    <cellStyle name="Обычный 9 4 4 3 2" xfId="5865"/>
    <cellStyle name="Обычный 9 4 4 3 2 2" xfId="7689"/>
    <cellStyle name="Обычный 9 4 4 3 3" xfId="5866"/>
    <cellStyle name="Обычный 9 4 4 4" xfId="1865"/>
    <cellStyle name="Обычный 9 4 4 4 2" xfId="5867"/>
    <cellStyle name="Обычный 9 4 4 4 2 2" xfId="7690"/>
    <cellStyle name="Обычный 9 4 4 4 3" xfId="5868"/>
    <cellStyle name="Обычный 9 4 4 5" xfId="1866"/>
    <cellStyle name="Обычный 9 4 4 5 2" xfId="5869"/>
    <cellStyle name="Обычный 9 4 4 5 2 2" xfId="7691"/>
    <cellStyle name="Обычный 9 4 4 5 3" xfId="5870"/>
    <cellStyle name="Обычный 9 4 4 6" xfId="2355"/>
    <cellStyle name="Обычный 9 4 4 6 2" xfId="5871"/>
    <cellStyle name="Обычный 9 4 4 7" xfId="5872"/>
    <cellStyle name="Обычный 9 4 4 8" xfId="7692"/>
    <cellStyle name="Обычный 9 4 5" xfId="1867"/>
    <cellStyle name="Обычный 9 4 5 2" xfId="1868"/>
    <cellStyle name="Обычный 9 4 5 2 2" xfId="1869"/>
    <cellStyle name="Обычный 9 4 5 2 2 2" xfId="5873"/>
    <cellStyle name="Обычный 9 4 5 2 2 2 2" xfId="7693"/>
    <cellStyle name="Обычный 9 4 5 2 2 3" xfId="5874"/>
    <cellStyle name="Обычный 9 4 5 2 3" xfId="5875"/>
    <cellStyle name="Обычный 9 4 5 2 3 2" xfId="7694"/>
    <cellStyle name="Обычный 9 4 5 2 4" xfId="5876"/>
    <cellStyle name="Обычный 9 4 5 3" xfId="1870"/>
    <cellStyle name="Обычный 9 4 5 3 2" xfId="5877"/>
    <cellStyle name="Обычный 9 4 5 3 2 2" xfId="7695"/>
    <cellStyle name="Обычный 9 4 5 3 3" xfId="5878"/>
    <cellStyle name="Обычный 9 4 5 4" xfId="1871"/>
    <cellStyle name="Обычный 9 4 5 4 2" xfId="5879"/>
    <cellStyle name="Обычный 9 4 5 4 2 2" xfId="7696"/>
    <cellStyle name="Обычный 9 4 5 4 3" xfId="5880"/>
    <cellStyle name="Обычный 9 4 5 5" xfId="1872"/>
    <cellStyle name="Обычный 9 4 5 5 2" xfId="5881"/>
    <cellStyle name="Обычный 9 4 5 5 2 2" xfId="7697"/>
    <cellStyle name="Обычный 9 4 5 5 3" xfId="5882"/>
    <cellStyle name="Обычный 9 4 5 6" xfId="2356"/>
    <cellStyle name="Обычный 9 4 5 6 2" xfId="5883"/>
    <cellStyle name="Обычный 9 4 5 7" xfId="5884"/>
    <cellStyle name="Обычный 9 4 5 8" xfId="7698"/>
    <cellStyle name="Обычный 9 4 6" xfId="1873"/>
    <cellStyle name="Обычный 9 4 6 2" xfId="1874"/>
    <cellStyle name="Обычный 9 4 6 2 2" xfId="5885"/>
    <cellStyle name="Обычный 9 4 6 2 2 2" xfId="7699"/>
    <cellStyle name="Обычный 9 4 6 2 3" xfId="5886"/>
    <cellStyle name="Обычный 9 4 6 3" xfId="5887"/>
    <cellStyle name="Обычный 9 4 6 3 2" xfId="7700"/>
    <cellStyle name="Обычный 9 4 6 4" xfId="5888"/>
    <cellStyle name="Обычный 9 4 7" xfId="1875"/>
    <cellStyle name="Обычный 9 4 7 2" xfId="5889"/>
    <cellStyle name="Обычный 9 4 7 2 2" xfId="7701"/>
    <cellStyle name="Обычный 9 4 7 3" xfId="5890"/>
    <cellStyle name="Обычный 9 4 8" xfId="1876"/>
    <cellStyle name="Обычный 9 4 8 2" xfId="5891"/>
    <cellStyle name="Обычный 9 4 8 2 2" xfId="7702"/>
    <cellStyle name="Обычный 9 4 8 3" xfId="5892"/>
    <cellStyle name="Обычный 9 4 9" xfId="1877"/>
    <cellStyle name="Обычный 9 4 9 2" xfId="5893"/>
    <cellStyle name="Обычный 9 4 9 2 2" xfId="7703"/>
    <cellStyle name="Обычный 9 4 9 3" xfId="5894"/>
    <cellStyle name="Обычный 9 4_Расчет скв 3П Яснополянской  БУ румынский  без ВСП от 09082019" xfId="2059"/>
    <cellStyle name="Обычный 9 5" xfId="1878"/>
    <cellStyle name="Обычный 9 5 2" xfId="1879"/>
    <cellStyle name="Обычный 9 5 2 2" xfId="1880"/>
    <cellStyle name="Обычный 9 5 2 2 2" xfId="1881"/>
    <cellStyle name="Обычный 9 5 2 2 2 2" xfId="5895"/>
    <cellStyle name="Обычный 9 5 2 2 2 2 2" xfId="7704"/>
    <cellStyle name="Обычный 9 5 2 2 2 3" xfId="5896"/>
    <cellStyle name="Обычный 9 5 2 2 3" xfId="5897"/>
    <cellStyle name="Обычный 9 5 2 2 3 2" xfId="7705"/>
    <cellStyle name="Обычный 9 5 2 2 4" xfId="5898"/>
    <cellStyle name="Обычный 9 5 2 3" xfId="1882"/>
    <cellStyle name="Обычный 9 5 2 3 2" xfId="5899"/>
    <cellStyle name="Обычный 9 5 2 3 2 2" xfId="7706"/>
    <cellStyle name="Обычный 9 5 2 3 3" xfId="5900"/>
    <cellStyle name="Обычный 9 5 2 4" xfId="1883"/>
    <cellStyle name="Обычный 9 5 2 4 2" xfId="5901"/>
    <cellStyle name="Обычный 9 5 2 4 2 2" xfId="7707"/>
    <cellStyle name="Обычный 9 5 2 4 3" xfId="5902"/>
    <cellStyle name="Обычный 9 5 2 5" xfId="1884"/>
    <cellStyle name="Обычный 9 5 2 5 2" xfId="5903"/>
    <cellStyle name="Обычный 9 5 2 5 2 2" xfId="7708"/>
    <cellStyle name="Обычный 9 5 2 5 3" xfId="5904"/>
    <cellStyle name="Обычный 9 5 2 6" xfId="2357"/>
    <cellStyle name="Обычный 9 5 2 6 2" xfId="5905"/>
    <cellStyle name="Обычный 9 5 2 7" xfId="5906"/>
    <cellStyle name="Обычный 9 5 2 8" xfId="7709"/>
    <cellStyle name="Обычный 9 5 3" xfId="1885"/>
    <cellStyle name="Обычный 9 5 3 2" xfId="1886"/>
    <cellStyle name="Обычный 9 5 3 2 2" xfId="5907"/>
    <cellStyle name="Обычный 9 5 3 2 2 2" xfId="7710"/>
    <cellStyle name="Обычный 9 5 3 2 3" xfId="5908"/>
    <cellStyle name="Обычный 9 5 3 3" xfId="5909"/>
    <cellStyle name="Обычный 9 5 3 3 2" xfId="7711"/>
    <cellStyle name="Обычный 9 5 3 4" xfId="5910"/>
    <cellStyle name="Обычный 9 5 4" xfId="1887"/>
    <cellStyle name="Обычный 9 5 4 2" xfId="5911"/>
    <cellStyle name="Обычный 9 5 4 2 2" xfId="7712"/>
    <cellStyle name="Обычный 9 5 4 3" xfId="5912"/>
    <cellStyle name="Обычный 9 5 5" xfId="1888"/>
    <cellStyle name="Обычный 9 5 5 2" xfId="5913"/>
    <cellStyle name="Обычный 9 5 5 2 2" xfId="7713"/>
    <cellStyle name="Обычный 9 5 5 3" xfId="5914"/>
    <cellStyle name="Обычный 9 5 6" xfId="1889"/>
    <cellStyle name="Обычный 9 5 6 2" xfId="5915"/>
    <cellStyle name="Обычный 9 5 6 2 2" xfId="7714"/>
    <cellStyle name="Обычный 9 5 6 3" xfId="5916"/>
    <cellStyle name="Обычный 9 5 7" xfId="2358"/>
    <cellStyle name="Обычный 9 5 7 2" xfId="5917"/>
    <cellStyle name="Обычный 9 5 8" xfId="5918"/>
    <cellStyle name="Обычный 9 5 9" xfId="7715"/>
    <cellStyle name="Обычный 9 5_Расчет скв 3П Яснополянской  БУ румынский  без ВСП от 09082019" xfId="2060"/>
    <cellStyle name="Обычный 9 6" xfId="1890"/>
    <cellStyle name="Обычный 9 6 2" xfId="1891"/>
    <cellStyle name="Обычный 9 6 2 2" xfId="1892"/>
    <cellStyle name="Обычный 9 6 2 2 2" xfId="5919"/>
    <cellStyle name="Обычный 9 6 2 2 2 2" xfId="7716"/>
    <cellStyle name="Обычный 9 6 2 2 3" xfId="5920"/>
    <cellStyle name="Обычный 9 6 2 3" xfId="5921"/>
    <cellStyle name="Обычный 9 6 2 3 2" xfId="7717"/>
    <cellStyle name="Обычный 9 6 2 4" xfId="5922"/>
    <cellStyle name="Обычный 9 6 3" xfId="1893"/>
    <cellStyle name="Обычный 9 6 3 2" xfId="5923"/>
    <cellStyle name="Обычный 9 6 3 2 2" xfId="7718"/>
    <cellStyle name="Обычный 9 6 3 3" xfId="5924"/>
    <cellStyle name="Обычный 9 6 4" xfId="1894"/>
    <cellStyle name="Обычный 9 6 4 2" xfId="5925"/>
    <cellStyle name="Обычный 9 6 4 2 2" xfId="7719"/>
    <cellStyle name="Обычный 9 6 4 3" xfId="5926"/>
    <cellStyle name="Обычный 9 6 5" xfId="1895"/>
    <cellStyle name="Обычный 9 6 5 2" xfId="5927"/>
    <cellStyle name="Обычный 9 6 5 2 2" xfId="7720"/>
    <cellStyle name="Обычный 9 6 5 3" xfId="5928"/>
    <cellStyle name="Обычный 9 6 6" xfId="2359"/>
    <cellStyle name="Обычный 9 6 6 2" xfId="5929"/>
    <cellStyle name="Обычный 9 6 7" xfId="5930"/>
    <cellStyle name="Обычный 9 6 8" xfId="7721"/>
    <cellStyle name="Обычный 9 7" xfId="1896"/>
    <cellStyle name="Обычный 9 7 2" xfId="1897"/>
    <cellStyle name="Обычный 9 7 2 2" xfId="1898"/>
    <cellStyle name="Обычный 9 7 2 2 2" xfId="5931"/>
    <cellStyle name="Обычный 9 7 2 2 2 2" xfId="7722"/>
    <cellStyle name="Обычный 9 7 2 2 3" xfId="5932"/>
    <cellStyle name="Обычный 9 7 2 3" xfId="5933"/>
    <cellStyle name="Обычный 9 7 2 3 2" xfId="7723"/>
    <cellStyle name="Обычный 9 7 2 4" xfId="5934"/>
    <cellStyle name="Обычный 9 7 3" xfId="1899"/>
    <cellStyle name="Обычный 9 7 3 2" xfId="5935"/>
    <cellStyle name="Обычный 9 7 3 2 2" xfId="7724"/>
    <cellStyle name="Обычный 9 7 3 3" xfId="5936"/>
    <cellStyle name="Обычный 9 7 4" xfId="1900"/>
    <cellStyle name="Обычный 9 7 4 2" xfId="5937"/>
    <cellStyle name="Обычный 9 7 4 2 2" xfId="7725"/>
    <cellStyle name="Обычный 9 7 4 3" xfId="5938"/>
    <cellStyle name="Обычный 9 7 5" xfId="1901"/>
    <cellStyle name="Обычный 9 7 5 2" xfId="5939"/>
    <cellStyle name="Обычный 9 7 5 2 2" xfId="7726"/>
    <cellStyle name="Обычный 9 7 5 3" xfId="5940"/>
    <cellStyle name="Обычный 9 7 6" xfId="2360"/>
    <cellStyle name="Обычный 9 7 6 2" xfId="5941"/>
    <cellStyle name="Обычный 9 7 7" xfId="5942"/>
    <cellStyle name="Обычный 9 7 8" xfId="7727"/>
    <cellStyle name="Обычный 9 8" xfId="1902"/>
    <cellStyle name="Обычный 9 8 2" xfId="1903"/>
    <cellStyle name="Обычный 9 8 2 2" xfId="1904"/>
    <cellStyle name="Обычный 9 8 2 2 2" xfId="5943"/>
    <cellStyle name="Обычный 9 8 2 2 2 2" xfId="7728"/>
    <cellStyle name="Обычный 9 8 2 2 3" xfId="5944"/>
    <cellStyle name="Обычный 9 8 2 3" xfId="5945"/>
    <cellStyle name="Обычный 9 8 2 3 2" xfId="7729"/>
    <cellStyle name="Обычный 9 8 2 4" xfId="5946"/>
    <cellStyle name="Обычный 9 8 3" xfId="1905"/>
    <cellStyle name="Обычный 9 8 3 2" xfId="5947"/>
    <cellStyle name="Обычный 9 8 3 2 2" xfId="7730"/>
    <cellStyle name="Обычный 9 8 3 3" xfId="5948"/>
    <cellStyle name="Обычный 9 8 4" xfId="1906"/>
    <cellStyle name="Обычный 9 8 4 2" xfId="5949"/>
    <cellStyle name="Обычный 9 8 4 2 2" xfId="7731"/>
    <cellStyle name="Обычный 9 8 4 3" xfId="5950"/>
    <cellStyle name="Обычный 9 8 5" xfId="1907"/>
    <cellStyle name="Обычный 9 8 5 2" xfId="5951"/>
    <cellStyle name="Обычный 9 8 5 2 2" xfId="7732"/>
    <cellStyle name="Обычный 9 8 5 3" xfId="5952"/>
    <cellStyle name="Обычный 9 8 6" xfId="2361"/>
    <cellStyle name="Обычный 9 8 6 2" xfId="5953"/>
    <cellStyle name="Обычный 9 8 7" xfId="5954"/>
    <cellStyle name="Обычный 9 8 8" xfId="7733"/>
    <cellStyle name="Обычный 9 9" xfId="1908"/>
    <cellStyle name="Обычный 9 9 2" xfId="1909"/>
    <cellStyle name="Обычный 9 9 2 2" xfId="5955"/>
    <cellStyle name="Обычный 9 9 2 2 2" xfId="7734"/>
    <cellStyle name="Обычный 9 9 2 3" xfId="5956"/>
    <cellStyle name="Обычный 9 9 3" xfId="5957"/>
    <cellStyle name="Обычный 9 9 3 2" xfId="7735"/>
    <cellStyle name="Обычный 9 9 4" xfId="5958"/>
    <cellStyle name="Обычный 9_Расчет скв 3П Яснополянской  БУ румынский  без ВСП от 09082019" xfId="2061"/>
    <cellStyle name="Обычный_101 Кабантывиская с ЕБД_ШКП" xfId="1910"/>
    <cellStyle name="Обычный_2-стволы расчеты для цены ЛП" xfId="1911"/>
    <cellStyle name="Обычный_2-стволы расчеты для цены ЛП 2" xfId="1912"/>
    <cellStyle name="Обычный_№ 2.1.Монтаж" xfId="1913"/>
    <cellStyle name="Обычный_Инв.расш.ст-ти, лоты пересч.вар." xfId="1914"/>
    <cellStyle name="Обычный_Книга1" xfId="1915"/>
    <cellStyle name="Обычный_Книга1 2" xfId="1916"/>
    <cellStyle name="Обычный_Книга1 2 2" xfId="1956"/>
    <cellStyle name="Обычный_Лист2" xfId="1917"/>
    <cellStyle name="Обычный_Лист7" xfId="1918"/>
    <cellStyle name="Обычный_мобилизация 2-е ств. в Усинск 2 2 2" xfId="1919"/>
    <cellStyle name="Обычный_расчет зарплаты по бурению ЕВРАЗИЯ.2" xfId="1920"/>
    <cellStyle name="Обычный_расчет зарплаты по бурению ЕВРАЗИЯ.2 2" xfId="1921"/>
    <cellStyle name="Обычный_ССК январь 2009 CCК" xfId="1922"/>
    <cellStyle name="Обычный_ССР на скв №10ВЛ - 05.02.11" xfId="1923"/>
    <cellStyle name="Обычный_Утвержденные расчеты зарплаты по бурению  от 17.05. 06г.ЕВРАЗИЯ на 1,2,3,4 квартала 2006 года" xfId="1924"/>
    <cellStyle name="Обычный_Утвержденные расчеты зарплаты по бурению  от 17.05. 06г.ЕВРАЗИЯ на 1,2,3,4 квартала 2006 года 2" xfId="1925"/>
    <cellStyle name="овый_ДолоДолоурналОперато_x0002_" xfId="1926"/>
    <cellStyle name="Оператора1_Р-742!ра_x0011_Хйнансовый_452Р02" xfId="1927"/>
    <cellStyle name="Примечание 2" xfId="1928"/>
    <cellStyle name="Примечание 2 2" xfId="1929"/>
    <cellStyle name="Процентный" xfId="1930" builtinId="5"/>
    <cellStyle name="Процентный 2" xfId="1931"/>
    <cellStyle name="Процентный 2 2" xfId="1932"/>
    <cellStyle name="Процентный 3" xfId="1933"/>
    <cellStyle name="Процентный 3 2" xfId="1934"/>
    <cellStyle name="Процентный 4" xfId="1935"/>
    <cellStyle name="Процентный 4 2" xfId="1936"/>
    <cellStyle name="Процентный 4 3" xfId="1937"/>
    <cellStyle name="Процентный 4 4" xfId="1938"/>
    <cellStyle name="Процентный 4 5" xfId="1939"/>
    <cellStyle name="Процентный 4 5 2" xfId="5959"/>
    <cellStyle name="Процентный 4 5 2 2" xfId="7736"/>
    <cellStyle name="Процентный 4 5 3" xfId="5960"/>
    <cellStyle name="Процентный 4 6" xfId="1940"/>
    <cellStyle name="Процентный 4 6 2" xfId="5961"/>
    <cellStyle name="Процентный 4 6 2 2" xfId="7737"/>
    <cellStyle name="Процентный 4 6 3" xfId="5962"/>
    <cellStyle name="Процентный 4 7" xfId="1941"/>
    <cellStyle name="Процентный 4 8" xfId="5963"/>
    <cellStyle name="Процентный 4 8 2" xfId="7738"/>
    <cellStyle name="Процентный 4 9" xfId="5964"/>
    <cellStyle name="Стиль 1" xfId="1942"/>
    <cellStyle name="Стиль 1 2" xfId="1943"/>
    <cellStyle name="Стиль 2" xfId="1944"/>
    <cellStyle name="Стиль 3" xfId="1945"/>
    <cellStyle name="Тысячи [0]_&quot;АПАТИТ&quot;" xfId="5965"/>
    <cellStyle name="Тысячи [а]" xfId="5966"/>
    <cellStyle name="Тысячи_&quot;АПАТИТ&quot;" xfId="5967"/>
    <cellStyle name="Финансовый 2" xfId="1946"/>
    <cellStyle name="Финансовый 2 2" xfId="1947"/>
    <cellStyle name="Финансовый 2 3" xfId="1955"/>
    <cellStyle name="Финансовый 3" xfId="2362"/>
    <cellStyle name="Финансовый 3 2" xfId="1948"/>
    <cellStyle name="Финансовый 4" xfId="2062"/>
    <cellStyle name="Финансовый 4 2" xfId="5968"/>
    <cellStyle name="Финансовый 5" xfId="2063"/>
    <cellStyle name="Финансовый 6" xfId="2064"/>
    <cellStyle name="Финансовый 6 2" xfId="2065"/>
    <cellStyle name="Хйнансовый_452Р02" xfId="1949"/>
    <cellStyle name="Хйнан鏀ƌвый_5520-14 (2)" xfId="1950"/>
    <cellStyle name="ый_SV-6357" xfId="195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externalLink" Target="externalLinks/externalLink10.xml"/><Relationship Id="rId55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3" Type="http://schemas.openxmlformats.org/officeDocument/2006/relationships/externalLink" Target="externalLinks/externalLink1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54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75</xdr:row>
      <xdr:rowOff>0</xdr:rowOff>
    </xdr:from>
    <xdr:to>
      <xdr:col>4</xdr:col>
      <xdr:colOff>1419225</xdr:colOff>
      <xdr:row>75</xdr:row>
      <xdr:rowOff>9525</xdr:rowOff>
    </xdr:to>
    <xdr:pic>
      <xdr:nvPicPr>
        <xdr:cNvPr id="2" name="Рисунок 55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2869525"/>
          <a:ext cx="1419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314325</xdr:colOff>
      <xdr:row>75</xdr:row>
      <xdr:rowOff>9525</xdr:rowOff>
    </xdr:to>
    <xdr:pic>
      <xdr:nvPicPr>
        <xdr:cNvPr id="3" name="Рисунок 56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28695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94</xdr:row>
      <xdr:rowOff>0</xdr:rowOff>
    </xdr:from>
    <xdr:to>
      <xdr:col>2</xdr:col>
      <xdr:colOff>304800</xdr:colOff>
      <xdr:row>94</xdr:row>
      <xdr:rowOff>9525</xdr:rowOff>
    </xdr:to>
    <xdr:pic>
      <xdr:nvPicPr>
        <xdr:cNvPr id="4" name="Рисунок 61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0784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74</xdr:row>
      <xdr:rowOff>0</xdr:rowOff>
    </xdr:from>
    <xdr:to>
      <xdr:col>4</xdr:col>
      <xdr:colOff>228600</xdr:colOff>
      <xdr:row>74</xdr:row>
      <xdr:rowOff>19050</xdr:rowOff>
    </xdr:to>
    <xdr:pic>
      <xdr:nvPicPr>
        <xdr:cNvPr id="5" name="Рисунок 122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2488525"/>
          <a:ext cx="228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108</xdr:row>
      <xdr:rowOff>0</xdr:rowOff>
    </xdr:from>
    <xdr:to>
      <xdr:col>4</xdr:col>
      <xdr:colOff>1657350</xdr:colOff>
      <xdr:row>108</xdr:row>
      <xdr:rowOff>9525</xdr:rowOff>
    </xdr:to>
    <xdr:pic>
      <xdr:nvPicPr>
        <xdr:cNvPr id="6" name="Рисунок 98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35642550"/>
          <a:ext cx="15906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2</xdr:col>
      <xdr:colOff>304800</xdr:colOff>
      <xdr:row>69</xdr:row>
      <xdr:rowOff>9525</xdr:rowOff>
    </xdr:to>
    <xdr:pic>
      <xdr:nvPicPr>
        <xdr:cNvPr id="7" name="Рисунок 61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10121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74</xdr:row>
      <xdr:rowOff>28575</xdr:rowOff>
    </xdr:from>
    <xdr:to>
      <xdr:col>5</xdr:col>
      <xdr:colOff>9525</xdr:colOff>
      <xdr:row>74</xdr:row>
      <xdr:rowOff>314325</xdr:rowOff>
    </xdr:to>
    <xdr:pic>
      <xdr:nvPicPr>
        <xdr:cNvPr id="8" name="Рисунок 116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22517100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74</xdr:row>
      <xdr:rowOff>28575</xdr:rowOff>
    </xdr:from>
    <xdr:to>
      <xdr:col>5</xdr:col>
      <xdr:colOff>9525</xdr:colOff>
      <xdr:row>74</xdr:row>
      <xdr:rowOff>314325</xdr:rowOff>
    </xdr:to>
    <xdr:pic>
      <xdr:nvPicPr>
        <xdr:cNvPr id="9" name="Рисунок 116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22517100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74</xdr:row>
      <xdr:rowOff>28575</xdr:rowOff>
    </xdr:from>
    <xdr:to>
      <xdr:col>5</xdr:col>
      <xdr:colOff>9525</xdr:colOff>
      <xdr:row>74</xdr:row>
      <xdr:rowOff>314325</xdr:rowOff>
    </xdr:to>
    <xdr:pic>
      <xdr:nvPicPr>
        <xdr:cNvPr id="10" name="Рисунок 116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3475" y="22517100"/>
          <a:ext cx="95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304800</xdr:colOff>
      <xdr:row>74</xdr:row>
      <xdr:rowOff>19050</xdr:rowOff>
    </xdr:to>
    <xdr:pic>
      <xdr:nvPicPr>
        <xdr:cNvPr id="11" name="Рисунок 61">
          <a:extLst>
            <a:ext uri="{FF2B5EF4-FFF2-40B4-BE49-F238E27FC236}">
              <a16:creationId xmlns:a16="http://schemas.microsoft.com/office/drawing/2014/main" id="{00000000-0008-0000-2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2488525"/>
          <a:ext cx="304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304800</xdr:colOff>
      <xdr:row>75</xdr:row>
      <xdr:rowOff>9525</xdr:rowOff>
    </xdr:to>
    <xdr:pic>
      <xdr:nvPicPr>
        <xdr:cNvPr id="12" name="Рисунок 61">
          <a:extLst>
            <a:ext uri="{FF2B5EF4-FFF2-40B4-BE49-F238E27FC236}">
              <a16:creationId xmlns:a16="http://schemas.microsoft.com/office/drawing/2014/main" id="{00000000-0008-0000-2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28695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76</xdr:row>
      <xdr:rowOff>0</xdr:rowOff>
    </xdr:from>
    <xdr:to>
      <xdr:col>2</xdr:col>
      <xdr:colOff>304800</xdr:colOff>
      <xdr:row>76</xdr:row>
      <xdr:rowOff>9525</xdr:rowOff>
    </xdr:to>
    <xdr:pic>
      <xdr:nvPicPr>
        <xdr:cNvPr id="13" name="Рисунок 61">
          <a:extLst>
            <a:ext uri="{FF2B5EF4-FFF2-40B4-BE49-F238E27FC236}">
              <a16:creationId xmlns:a16="http://schemas.microsoft.com/office/drawing/2014/main" id="{00000000-0008-0000-2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32219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77</xdr:row>
      <xdr:rowOff>0</xdr:rowOff>
    </xdr:from>
    <xdr:to>
      <xdr:col>2</xdr:col>
      <xdr:colOff>304800</xdr:colOff>
      <xdr:row>77</xdr:row>
      <xdr:rowOff>9525</xdr:rowOff>
    </xdr:to>
    <xdr:pic>
      <xdr:nvPicPr>
        <xdr:cNvPr id="14" name="Рисунок 61">
          <a:extLst>
            <a:ext uri="{FF2B5EF4-FFF2-40B4-BE49-F238E27FC236}">
              <a16:creationId xmlns:a16="http://schemas.microsoft.com/office/drawing/2014/main" id="{00000000-0008-0000-2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346007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304800</xdr:colOff>
      <xdr:row>78</xdr:row>
      <xdr:rowOff>9525</xdr:rowOff>
    </xdr:to>
    <xdr:pic>
      <xdr:nvPicPr>
        <xdr:cNvPr id="15" name="Рисунок 61">
          <a:extLst>
            <a:ext uri="{FF2B5EF4-FFF2-40B4-BE49-F238E27FC236}">
              <a16:creationId xmlns:a16="http://schemas.microsoft.com/office/drawing/2014/main" id="{00000000-0008-0000-2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39077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79</xdr:row>
      <xdr:rowOff>0</xdr:rowOff>
    </xdr:from>
    <xdr:to>
      <xdr:col>2</xdr:col>
      <xdr:colOff>304800</xdr:colOff>
      <xdr:row>79</xdr:row>
      <xdr:rowOff>9525</xdr:rowOff>
    </xdr:to>
    <xdr:pic>
      <xdr:nvPicPr>
        <xdr:cNvPr id="16" name="Рисунок 61">
          <a:extLst>
            <a:ext uri="{FF2B5EF4-FFF2-40B4-BE49-F238E27FC236}">
              <a16:creationId xmlns:a16="http://schemas.microsoft.com/office/drawing/2014/main" id="{00000000-0008-0000-2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43935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2</xdr:col>
      <xdr:colOff>304800</xdr:colOff>
      <xdr:row>80</xdr:row>
      <xdr:rowOff>9525</xdr:rowOff>
    </xdr:to>
    <xdr:pic>
      <xdr:nvPicPr>
        <xdr:cNvPr id="17" name="Рисунок 61">
          <a:extLst>
            <a:ext uri="{FF2B5EF4-FFF2-40B4-BE49-F238E27FC236}">
              <a16:creationId xmlns:a16="http://schemas.microsoft.com/office/drawing/2014/main" id="{00000000-0008-0000-2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48793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2</xdr:col>
      <xdr:colOff>304800</xdr:colOff>
      <xdr:row>81</xdr:row>
      <xdr:rowOff>9525</xdr:rowOff>
    </xdr:to>
    <xdr:pic>
      <xdr:nvPicPr>
        <xdr:cNvPr id="18" name="Рисунок 61">
          <a:extLst>
            <a:ext uri="{FF2B5EF4-FFF2-40B4-BE49-F238E27FC236}">
              <a16:creationId xmlns:a16="http://schemas.microsoft.com/office/drawing/2014/main" id="{00000000-0008-0000-2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52698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82</xdr:row>
      <xdr:rowOff>0</xdr:rowOff>
    </xdr:from>
    <xdr:to>
      <xdr:col>2</xdr:col>
      <xdr:colOff>304800</xdr:colOff>
      <xdr:row>82</xdr:row>
      <xdr:rowOff>9525</xdr:rowOff>
    </xdr:to>
    <xdr:pic>
      <xdr:nvPicPr>
        <xdr:cNvPr id="19" name="Рисунок 61">
          <a:extLst>
            <a:ext uri="{FF2B5EF4-FFF2-40B4-BE49-F238E27FC236}">
              <a16:creationId xmlns:a16="http://schemas.microsoft.com/office/drawing/2014/main" id="{00000000-0008-0000-27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56508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83</xdr:row>
      <xdr:rowOff>0</xdr:rowOff>
    </xdr:from>
    <xdr:to>
      <xdr:col>2</xdr:col>
      <xdr:colOff>304800</xdr:colOff>
      <xdr:row>83</xdr:row>
      <xdr:rowOff>9525</xdr:rowOff>
    </xdr:to>
    <xdr:pic>
      <xdr:nvPicPr>
        <xdr:cNvPr id="20" name="Рисунок 61">
          <a:extLst>
            <a:ext uri="{FF2B5EF4-FFF2-40B4-BE49-F238E27FC236}">
              <a16:creationId xmlns:a16="http://schemas.microsoft.com/office/drawing/2014/main" id="{00000000-0008-0000-2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60318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84</xdr:row>
      <xdr:rowOff>0</xdr:rowOff>
    </xdr:from>
    <xdr:to>
      <xdr:col>2</xdr:col>
      <xdr:colOff>304800</xdr:colOff>
      <xdr:row>84</xdr:row>
      <xdr:rowOff>9525</xdr:rowOff>
    </xdr:to>
    <xdr:pic>
      <xdr:nvPicPr>
        <xdr:cNvPr id="21" name="Рисунок 61">
          <a:extLst>
            <a:ext uri="{FF2B5EF4-FFF2-40B4-BE49-F238E27FC236}">
              <a16:creationId xmlns:a16="http://schemas.microsoft.com/office/drawing/2014/main" id="{00000000-0008-0000-2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64128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85</xdr:row>
      <xdr:rowOff>0</xdr:rowOff>
    </xdr:from>
    <xdr:to>
      <xdr:col>2</xdr:col>
      <xdr:colOff>304800</xdr:colOff>
      <xdr:row>85</xdr:row>
      <xdr:rowOff>9525</xdr:rowOff>
    </xdr:to>
    <xdr:pic>
      <xdr:nvPicPr>
        <xdr:cNvPr id="22" name="Рисунок 61">
          <a:extLst>
            <a:ext uri="{FF2B5EF4-FFF2-40B4-BE49-F238E27FC236}">
              <a16:creationId xmlns:a16="http://schemas.microsoft.com/office/drawing/2014/main" id="{00000000-0008-0000-2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67938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86</xdr:row>
      <xdr:rowOff>0</xdr:rowOff>
    </xdr:from>
    <xdr:to>
      <xdr:col>2</xdr:col>
      <xdr:colOff>304800</xdr:colOff>
      <xdr:row>86</xdr:row>
      <xdr:rowOff>9525</xdr:rowOff>
    </xdr:to>
    <xdr:pic>
      <xdr:nvPicPr>
        <xdr:cNvPr id="23" name="Рисунок 61">
          <a:extLst>
            <a:ext uri="{FF2B5EF4-FFF2-40B4-BE49-F238E27FC236}">
              <a16:creationId xmlns:a16="http://schemas.microsoft.com/office/drawing/2014/main" id="{00000000-0008-0000-27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738437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87</xdr:row>
      <xdr:rowOff>0</xdr:rowOff>
    </xdr:from>
    <xdr:to>
      <xdr:col>2</xdr:col>
      <xdr:colOff>304800</xdr:colOff>
      <xdr:row>87</xdr:row>
      <xdr:rowOff>9525</xdr:rowOff>
    </xdr:to>
    <xdr:pic>
      <xdr:nvPicPr>
        <xdr:cNvPr id="24" name="Рисунок 61">
          <a:extLst>
            <a:ext uri="{FF2B5EF4-FFF2-40B4-BE49-F238E27FC236}">
              <a16:creationId xmlns:a16="http://schemas.microsoft.com/office/drawing/2014/main" id="{00000000-0008-0000-27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795587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2</xdr:col>
      <xdr:colOff>304800</xdr:colOff>
      <xdr:row>88</xdr:row>
      <xdr:rowOff>9525</xdr:rowOff>
    </xdr:to>
    <xdr:pic>
      <xdr:nvPicPr>
        <xdr:cNvPr id="25" name="Рисунок 61">
          <a:extLst>
            <a:ext uri="{FF2B5EF4-FFF2-40B4-BE49-F238E27FC236}">
              <a16:creationId xmlns:a16="http://schemas.microsoft.com/office/drawing/2014/main" id="{00000000-0008-0000-27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833687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89</xdr:row>
      <xdr:rowOff>0</xdr:rowOff>
    </xdr:from>
    <xdr:to>
      <xdr:col>2</xdr:col>
      <xdr:colOff>304800</xdr:colOff>
      <xdr:row>89</xdr:row>
      <xdr:rowOff>9525</xdr:rowOff>
    </xdr:to>
    <xdr:pic>
      <xdr:nvPicPr>
        <xdr:cNvPr id="26" name="Рисунок 61">
          <a:extLst>
            <a:ext uri="{FF2B5EF4-FFF2-40B4-BE49-F238E27FC236}">
              <a16:creationId xmlns:a16="http://schemas.microsoft.com/office/drawing/2014/main" id="{00000000-0008-0000-27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87274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2</xdr:col>
      <xdr:colOff>304800</xdr:colOff>
      <xdr:row>90</xdr:row>
      <xdr:rowOff>19050</xdr:rowOff>
    </xdr:to>
    <xdr:pic>
      <xdr:nvPicPr>
        <xdr:cNvPr id="27" name="Рисунок 61">
          <a:extLst>
            <a:ext uri="{FF2B5EF4-FFF2-40B4-BE49-F238E27FC236}">
              <a16:creationId xmlns:a16="http://schemas.microsoft.com/office/drawing/2014/main" id="{00000000-0008-0000-27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9279850"/>
          <a:ext cx="304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91</xdr:row>
      <xdr:rowOff>0</xdr:rowOff>
    </xdr:from>
    <xdr:to>
      <xdr:col>2</xdr:col>
      <xdr:colOff>304800</xdr:colOff>
      <xdr:row>91</xdr:row>
      <xdr:rowOff>9525</xdr:rowOff>
    </xdr:to>
    <xdr:pic>
      <xdr:nvPicPr>
        <xdr:cNvPr id="28" name="Рисунок 61">
          <a:extLst>
            <a:ext uri="{FF2B5EF4-FFF2-40B4-BE49-F238E27FC236}">
              <a16:creationId xmlns:a16="http://schemas.microsoft.com/office/drawing/2014/main" id="{00000000-0008-0000-27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96608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92</xdr:row>
      <xdr:rowOff>0</xdr:rowOff>
    </xdr:from>
    <xdr:to>
      <xdr:col>2</xdr:col>
      <xdr:colOff>304800</xdr:colOff>
      <xdr:row>92</xdr:row>
      <xdr:rowOff>9525</xdr:rowOff>
    </xdr:to>
    <xdr:pic>
      <xdr:nvPicPr>
        <xdr:cNvPr id="29" name="Рисунок 61">
          <a:extLst>
            <a:ext uri="{FF2B5EF4-FFF2-40B4-BE49-F238E27FC236}">
              <a16:creationId xmlns:a16="http://schemas.microsoft.com/office/drawing/2014/main" id="{00000000-0008-0000-27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00799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94</xdr:row>
      <xdr:rowOff>0</xdr:rowOff>
    </xdr:from>
    <xdr:to>
      <xdr:col>2</xdr:col>
      <xdr:colOff>304800</xdr:colOff>
      <xdr:row>94</xdr:row>
      <xdr:rowOff>9525</xdr:rowOff>
    </xdr:to>
    <xdr:pic>
      <xdr:nvPicPr>
        <xdr:cNvPr id="30" name="Рисунок 61">
          <a:extLst>
            <a:ext uri="{FF2B5EF4-FFF2-40B4-BE49-F238E27FC236}">
              <a16:creationId xmlns:a16="http://schemas.microsoft.com/office/drawing/2014/main" id="{00000000-0008-0000-27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0784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2</xdr:col>
      <xdr:colOff>304800</xdr:colOff>
      <xdr:row>95</xdr:row>
      <xdr:rowOff>9525</xdr:rowOff>
    </xdr:to>
    <xdr:pic>
      <xdr:nvPicPr>
        <xdr:cNvPr id="31" name="Рисунок 61">
          <a:extLst>
            <a:ext uri="{FF2B5EF4-FFF2-40B4-BE49-F238E27FC236}">
              <a16:creationId xmlns:a16="http://schemas.microsoft.com/office/drawing/2014/main" id="{00000000-0008-0000-27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1165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2</xdr:col>
      <xdr:colOff>304800</xdr:colOff>
      <xdr:row>95</xdr:row>
      <xdr:rowOff>9525</xdr:rowOff>
    </xdr:to>
    <xdr:pic>
      <xdr:nvPicPr>
        <xdr:cNvPr id="32" name="Рисунок 61">
          <a:extLst>
            <a:ext uri="{FF2B5EF4-FFF2-40B4-BE49-F238E27FC236}">
              <a16:creationId xmlns:a16="http://schemas.microsoft.com/office/drawing/2014/main" id="{00000000-0008-0000-27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1165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2</xdr:col>
      <xdr:colOff>304800</xdr:colOff>
      <xdr:row>96</xdr:row>
      <xdr:rowOff>9525</xdr:rowOff>
    </xdr:to>
    <xdr:pic>
      <xdr:nvPicPr>
        <xdr:cNvPr id="33" name="Рисунок 61">
          <a:extLst>
            <a:ext uri="{FF2B5EF4-FFF2-40B4-BE49-F238E27FC236}">
              <a16:creationId xmlns:a16="http://schemas.microsoft.com/office/drawing/2014/main" id="{00000000-0008-0000-27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1546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2</xdr:col>
      <xdr:colOff>304800</xdr:colOff>
      <xdr:row>96</xdr:row>
      <xdr:rowOff>9525</xdr:rowOff>
    </xdr:to>
    <xdr:pic>
      <xdr:nvPicPr>
        <xdr:cNvPr id="34" name="Рисунок 61">
          <a:extLst>
            <a:ext uri="{FF2B5EF4-FFF2-40B4-BE49-F238E27FC236}">
              <a16:creationId xmlns:a16="http://schemas.microsoft.com/office/drawing/2014/main" id="{00000000-0008-0000-27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1546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2</xdr:col>
      <xdr:colOff>304800</xdr:colOff>
      <xdr:row>97</xdr:row>
      <xdr:rowOff>9525</xdr:rowOff>
    </xdr:to>
    <xdr:pic>
      <xdr:nvPicPr>
        <xdr:cNvPr id="35" name="Рисунок 61">
          <a:extLst>
            <a:ext uri="{FF2B5EF4-FFF2-40B4-BE49-F238E27FC236}">
              <a16:creationId xmlns:a16="http://schemas.microsoft.com/office/drawing/2014/main" id="{00000000-0008-0000-27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1927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97</xdr:row>
      <xdr:rowOff>0</xdr:rowOff>
    </xdr:from>
    <xdr:to>
      <xdr:col>2</xdr:col>
      <xdr:colOff>304800</xdr:colOff>
      <xdr:row>97</xdr:row>
      <xdr:rowOff>9525</xdr:rowOff>
    </xdr:to>
    <xdr:pic>
      <xdr:nvPicPr>
        <xdr:cNvPr id="36" name="Рисунок 61">
          <a:extLst>
            <a:ext uri="{FF2B5EF4-FFF2-40B4-BE49-F238E27FC236}">
              <a16:creationId xmlns:a16="http://schemas.microsoft.com/office/drawing/2014/main" id="{00000000-0008-0000-27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1927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2</xdr:col>
      <xdr:colOff>304800</xdr:colOff>
      <xdr:row>98</xdr:row>
      <xdr:rowOff>9525</xdr:rowOff>
    </xdr:to>
    <xdr:pic>
      <xdr:nvPicPr>
        <xdr:cNvPr id="37" name="Рисунок 61">
          <a:extLst>
            <a:ext uri="{FF2B5EF4-FFF2-40B4-BE49-F238E27FC236}">
              <a16:creationId xmlns:a16="http://schemas.microsoft.com/office/drawing/2014/main" id="{00000000-0008-0000-27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308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98</xdr:row>
      <xdr:rowOff>0</xdr:rowOff>
    </xdr:from>
    <xdr:to>
      <xdr:col>2</xdr:col>
      <xdr:colOff>304800</xdr:colOff>
      <xdr:row>98</xdr:row>
      <xdr:rowOff>9525</xdr:rowOff>
    </xdr:to>
    <xdr:pic>
      <xdr:nvPicPr>
        <xdr:cNvPr id="38" name="Рисунок 61">
          <a:extLst>
            <a:ext uri="{FF2B5EF4-FFF2-40B4-BE49-F238E27FC236}">
              <a16:creationId xmlns:a16="http://schemas.microsoft.com/office/drawing/2014/main" id="{00000000-0008-0000-27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308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2</xdr:col>
      <xdr:colOff>304800</xdr:colOff>
      <xdr:row>99</xdr:row>
      <xdr:rowOff>9525</xdr:rowOff>
    </xdr:to>
    <xdr:pic>
      <xdr:nvPicPr>
        <xdr:cNvPr id="39" name="Рисунок 61">
          <a:extLst>
            <a:ext uri="{FF2B5EF4-FFF2-40B4-BE49-F238E27FC236}">
              <a16:creationId xmlns:a16="http://schemas.microsoft.com/office/drawing/2014/main" id="{00000000-0008-0000-27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699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99</xdr:row>
      <xdr:rowOff>0</xdr:rowOff>
    </xdr:from>
    <xdr:to>
      <xdr:col>2</xdr:col>
      <xdr:colOff>304800</xdr:colOff>
      <xdr:row>99</xdr:row>
      <xdr:rowOff>9525</xdr:rowOff>
    </xdr:to>
    <xdr:pic>
      <xdr:nvPicPr>
        <xdr:cNvPr id="40" name="Рисунок 61">
          <a:extLst>
            <a:ext uri="{FF2B5EF4-FFF2-40B4-BE49-F238E27FC236}">
              <a16:creationId xmlns:a16="http://schemas.microsoft.com/office/drawing/2014/main" id="{00000000-0008-0000-27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2699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304800</xdr:colOff>
      <xdr:row>100</xdr:row>
      <xdr:rowOff>9525</xdr:rowOff>
    </xdr:to>
    <xdr:pic>
      <xdr:nvPicPr>
        <xdr:cNvPr id="41" name="Рисунок 61">
          <a:extLst>
            <a:ext uri="{FF2B5EF4-FFF2-40B4-BE49-F238E27FC236}">
              <a16:creationId xmlns:a16="http://schemas.microsoft.com/office/drawing/2014/main" id="{00000000-0008-0000-27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3080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304800</xdr:colOff>
      <xdr:row>100</xdr:row>
      <xdr:rowOff>9525</xdr:rowOff>
    </xdr:to>
    <xdr:pic>
      <xdr:nvPicPr>
        <xdr:cNvPr id="42" name="Рисунок 61">
          <a:extLst>
            <a:ext uri="{FF2B5EF4-FFF2-40B4-BE49-F238E27FC236}">
              <a16:creationId xmlns:a16="http://schemas.microsoft.com/office/drawing/2014/main" id="{00000000-0008-0000-27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3080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304800</xdr:colOff>
      <xdr:row>101</xdr:row>
      <xdr:rowOff>9525</xdr:rowOff>
    </xdr:to>
    <xdr:pic>
      <xdr:nvPicPr>
        <xdr:cNvPr id="43" name="Рисунок 61">
          <a:extLst>
            <a:ext uri="{FF2B5EF4-FFF2-40B4-BE49-F238E27FC236}">
              <a16:creationId xmlns:a16="http://schemas.microsoft.com/office/drawing/2014/main" id="{00000000-0008-0000-27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3461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304800</xdr:colOff>
      <xdr:row>101</xdr:row>
      <xdr:rowOff>9525</xdr:rowOff>
    </xdr:to>
    <xdr:pic>
      <xdr:nvPicPr>
        <xdr:cNvPr id="44" name="Рисунок 61">
          <a:extLst>
            <a:ext uri="{FF2B5EF4-FFF2-40B4-BE49-F238E27FC236}">
              <a16:creationId xmlns:a16="http://schemas.microsoft.com/office/drawing/2014/main" id="{00000000-0008-0000-27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3461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304800</xdr:colOff>
      <xdr:row>102</xdr:row>
      <xdr:rowOff>9525</xdr:rowOff>
    </xdr:to>
    <xdr:pic>
      <xdr:nvPicPr>
        <xdr:cNvPr id="45" name="Рисунок 61">
          <a:extLst>
            <a:ext uri="{FF2B5EF4-FFF2-40B4-BE49-F238E27FC236}">
              <a16:creationId xmlns:a16="http://schemas.microsoft.com/office/drawing/2014/main" id="{00000000-0008-0000-2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3842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304800</xdr:colOff>
      <xdr:row>102</xdr:row>
      <xdr:rowOff>9525</xdr:rowOff>
    </xdr:to>
    <xdr:pic>
      <xdr:nvPicPr>
        <xdr:cNvPr id="46" name="Рисунок 61">
          <a:extLst>
            <a:ext uri="{FF2B5EF4-FFF2-40B4-BE49-F238E27FC236}">
              <a16:creationId xmlns:a16="http://schemas.microsoft.com/office/drawing/2014/main" id="{00000000-0008-0000-27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3842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304800</xdr:colOff>
      <xdr:row>103</xdr:row>
      <xdr:rowOff>9525</xdr:rowOff>
    </xdr:to>
    <xdr:pic>
      <xdr:nvPicPr>
        <xdr:cNvPr id="47" name="Рисунок 61">
          <a:extLst>
            <a:ext uri="{FF2B5EF4-FFF2-40B4-BE49-F238E27FC236}">
              <a16:creationId xmlns:a16="http://schemas.microsoft.com/office/drawing/2014/main" id="{00000000-0008-0000-27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41185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304800</xdr:colOff>
      <xdr:row>103</xdr:row>
      <xdr:rowOff>9525</xdr:rowOff>
    </xdr:to>
    <xdr:pic>
      <xdr:nvPicPr>
        <xdr:cNvPr id="48" name="Рисунок 61">
          <a:extLst>
            <a:ext uri="{FF2B5EF4-FFF2-40B4-BE49-F238E27FC236}">
              <a16:creationId xmlns:a16="http://schemas.microsoft.com/office/drawing/2014/main" id="{00000000-0008-0000-27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41185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95</xdr:row>
      <xdr:rowOff>0</xdr:rowOff>
    </xdr:from>
    <xdr:to>
      <xdr:col>4</xdr:col>
      <xdr:colOff>304800</xdr:colOff>
      <xdr:row>95</xdr:row>
      <xdr:rowOff>9525</xdr:rowOff>
    </xdr:to>
    <xdr:pic>
      <xdr:nvPicPr>
        <xdr:cNvPr id="49" name="Рисунок 61">
          <a:extLst>
            <a:ext uri="{FF2B5EF4-FFF2-40B4-BE49-F238E27FC236}">
              <a16:creationId xmlns:a16="http://schemas.microsoft.com/office/drawing/2014/main" id="{00000000-0008-0000-27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1165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95</xdr:row>
      <xdr:rowOff>0</xdr:rowOff>
    </xdr:from>
    <xdr:to>
      <xdr:col>4</xdr:col>
      <xdr:colOff>304800</xdr:colOff>
      <xdr:row>95</xdr:row>
      <xdr:rowOff>9525</xdr:rowOff>
    </xdr:to>
    <xdr:pic>
      <xdr:nvPicPr>
        <xdr:cNvPr id="50" name="Рисунок 61">
          <a:extLst>
            <a:ext uri="{FF2B5EF4-FFF2-40B4-BE49-F238E27FC236}">
              <a16:creationId xmlns:a16="http://schemas.microsoft.com/office/drawing/2014/main" id="{00000000-0008-0000-27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1165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90</xdr:row>
      <xdr:rowOff>0</xdr:rowOff>
    </xdr:from>
    <xdr:to>
      <xdr:col>4</xdr:col>
      <xdr:colOff>304800</xdr:colOff>
      <xdr:row>90</xdr:row>
      <xdr:rowOff>19050</xdr:rowOff>
    </xdr:to>
    <xdr:pic>
      <xdr:nvPicPr>
        <xdr:cNvPr id="51" name="Рисунок 61">
          <a:extLst>
            <a:ext uri="{FF2B5EF4-FFF2-40B4-BE49-F238E27FC236}">
              <a16:creationId xmlns:a16="http://schemas.microsoft.com/office/drawing/2014/main" id="{00000000-0008-0000-27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9279850"/>
          <a:ext cx="304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90</xdr:row>
      <xdr:rowOff>0</xdr:rowOff>
    </xdr:from>
    <xdr:to>
      <xdr:col>4</xdr:col>
      <xdr:colOff>304800</xdr:colOff>
      <xdr:row>90</xdr:row>
      <xdr:rowOff>19050</xdr:rowOff>
    </xdr:to>
    <xdr:pic>
      <xdr:nvPicPr>
        <xdr:cNvPr id="52" name="Рисунок 61">
          <a:extLst>
            <a:ext uri="{FF2B5EF4-FFF2-40B4-BE49-F238E27FC236}">
              <a16:creationId xmlns:a16="http://schemas.microsoft.com/office/drawing/2014/main" id="{00000000-0008-0000-27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9279850"/>
          <a:ext cx="304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99</xdr:row>
      <xdr:rowOff>0</xdr:rowOff>
    </xdr:from>
    <xdr:to>
      <xdr:col>4</xdr:col>
      <xdr:colOff>304800</xdr:colOff>
      <xdr:row>99</xdr:row>
      <xdr:rowOff>9525</xdr:rowOff>
    </xdr:to>
    <xdr:pic>
      <xdr:nvPicPr>
        <xdr:cNvPr id="53" name="Рисунок 61">
          <a:extLst>
            <a:ext uri="{FF2B5EF4-FFF2-40B4-BE49-F238E27FC236}">
              <a16:creationId xmlns:a16="http://schemas.microsoft.com/office/drawing/2014/main" id="{00000000-0008-0000-27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2699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99</xdr:row>
      <xdr:rowOff>0</xdr:rowOff>
    </xdr:from>
    <xdr:to>
      <xdr:col>4</xdr:col>
      <xdr:colOff>304800</xdr:colOff>
      <xdr:row>99</xdr:row>
      <xdr:rowOff>9525</xdr:rowOff>
    </xdr:to>
    <xdr:pic>
      <xdr:nvPicPr>
        <xdr:cNvPr id="54" name="Рисунок 61">
          <a:extLst>
            <a:ext uri="{FF2B5EF4-FFF2-40B4-BE49-F238E27FC236}">
              <a16:creationId xmlns:a16="http://schemas.microsoft.com/office/drawing/2014/main" id="{00000000-0008-0000-27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2699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94</xdr:row>
      <xdr:rowOff>0</xdr:rowOff>
    </xdr:from>
    <xdr:to>
      <xdr:col>4</xdr:col>
      <xdr:colOff>304800</xdr:colOff>
      <xdr:row>94</xdr:row>
      <xdr:rowOff>9525</xdr:rowOff>
    </xdr:to>
    <xdr:pic>
      <xdr:nvPicPr>
        <xdr:cNvPr id="55" name="Рисунок 61">
          <a:extLst>
            <a:ext uri="{FF2B5EF4-FFF2-40B4-BE49-F238E27FC236}">
              <a16:creationId xmlns:a16="http://schemas.microsoft.com/office/drawing/2014/main" id="{00000000-0008-0000-2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0784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94</xdr:row>
      <xdr:rowOff>0</xdr:rowOff>
    </xdr:from>
    <xdr:to>
      <xdr:col>4</xdr:col>
      <xdr:colOff>304800</xdr:colOff>
      <xdr:row>94</xdr:row>
      <xdr:rowOff>9525</xdr:rowOff>
    </xdr:to>
    <xdr:pic>
      <xdr:nvPicPr>
        <xdr:cNvPr id="56" name="Рисунок 61">
          <a:extLst>
            <a:ext uri="{FF2B5EF4-FFF2-40B4-BE49-F238E27FC236}">
              <a16:creationId xmlns:a16="http://schemas.microsoft.com/office/drawing/2014/main" id="{00000000-0008-0000-27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0784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69</xdr:row>
      <xdr:rowOff>0</xdr:rowOff>
    </xdr:from>
    <xdr:to>
      <xdr:col>4</xdr:col>
      <xdr:colOff>304800</xdr:colOff>
      <xdr:row>69</xdr:row>
      <xdr:rowOff>9525</xdr:rowOff>
    </xdr:to>
    <xdr:pic>
      <xdr:nvPicPr>
        <xdr:cNvPr id="57" name="Рисунок 61">
          <a:extLst>
            <a:ext uri="{FF2B5EF4-FFF2-40B4-BE49-F238E27FC236}">
              <a16:creationId xmlns:a16="http://schemas.microsoft.com/office/drawing/2014/main" id="{00000000-0008-0000-27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0121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69</xdr:row>
      <xdr:rowOff>0</xdr:rowOff>
    </xdr:from>
    <xdr:to>
      <xdr:col>4</xdr:col>
      <xdr:colOff>304800</xdr:colOff>
      <xdr:row>69</xdr:row>
      <xdr:rowOff>9525</xdr:rowOff>
    </xdr:to>
    <xdr:pic>
      <xdr:nvPicPr>
        <xdr:cNvPr id="58" name="Рисунок 61">
          <a:extLst>
            <a:ext uri="{FF2B5EF4-FFF2-40B4-BE49-F238E27FC236}">
              <a16:creationId xmlns:a16="http://schemas.microsoft.com/office/drawing/2014/main" id="{00000000-0008-0000-27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0121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102</xdr:row>
      <xdr:rowOff>0</xdr:rowOff>
    </xdr:from>
    <xdr:to>
      <xdr:col>4</xdr:col>
      <xdr:colOff>304800</xdr:colOff>
      <xdr:row>102</xdr:row>
      <xdr:rowOff>9525</xdr:rowOff>
    </xdr:to>
    <xdr:pic>
      <xdr:nvPicPr>
        <xdr:cNvPr id="59" name="Рисунок 61">
          <a:extLst>
            <a:ext uri="{FF2B5EF4-FFF2-40B4-BE49-F238E27FC236}">
              <a16:creationId xmlns:a16="http://schemas.microsoft.com/office/drawing/2014/main" id="{00000000-0008-0000-27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3842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102</xdr:row>
      <xdr:rowOff>0</xdr:rowOff>
    </xdr:from>
    <xdr:to>
      <xdr:col>4</xdr:col>
      <xdr:colOff>304800</xdr:colOff>
      <xdr:row>102</xdr:row>
      <xdr:rowOff>9525</xdr:rowOff>
    </xdr:to>
    <xdr:pic>
      <xdr:nvPicPr>
        <xdr:cNvPr id="60" name="Рисунок 61">
          <a:extLst>
            <a:ext uri="{FF2B5EF4-FFF2-40B4-BE49-F238E27FC236}">
              <a16:creationId xmlns:a16="http://schemas.microsoft.com/office/drawing/2014/main" id="{00000000-0008-0000-27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3842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91</xdr:row>
      <xdr:rowOff>0</xdr:rowOff>
    </xdr:from>
    <xdr:to>
      <xdr:col>4</xdr:col>
      <xdr:colOff>304800</xdr:colOff>
      <xdr:row>91</xdr:row>
      <xdr:rowOff>9525</xdr:rowOff>
    </xdr:to>
    <xdr:pic>
      <xdr:nvPicPr>
        <xdr:cNvPr id="61" name="Рисунок 61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96608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91</xdr:row>
      <xdr:rowOff>0</xdr:rowOff>
    </xdr:from>
    <xdr:to>
      <xdr:col>4</xdr:col>
      <xdr:colOff>304800</xdr:colOff>
      <xdr:row>91</xdr:row>
      <xdr:rowOff>9525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27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96608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80</xdr:row>
      <xdr:rowOff>0</xdr:rowOff>
    </xdr:from>
    <xdr:to>
      <xdr:col>4</xdr:col>
      <xdr:colOff>304800</xdr:colOff>
      <xdr:row>80</xdr:row>
      <xdr:rowOff>9525</xdr:rowOff>
    </xdr:to>
    <xdr:pic>
      <xdr:nvPicPr>
        <xdr:cNvPr id="63" name="Рисунок 61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48793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80</xdr:row>
      <xdr:rowOff>0</xdr:rowOff>
    </xdr:from>
    <xdr:to>
      <xdr:col>4</xdr:col>
      <xdr:colOff>304800</xdr:colOff>
      <xdr:row>80</xdr:row>
      <xdr:rowOff>9525</xdr:rowOff>
    </xdr:to>
    <xdr:pic>
      <xdr:nvPicPr>
        <xdr:cNvPr id="64" name="Рисунок 61">
          <a:extLst>
            <a:ext uri="{FF2B5EF4-FFF2-40B4-BE49-F238E27FC236}">
              <a16:creationId xmlns:a16="http://schemas.microsoft.com/office/drawing/2014/main" id="{00000000-0008-0000-27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48793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81</xdr:row>
      <xdr:rowOff>0</xdr:rowOff>
    </xdr:from>
    <xdr:to>
      <xdr:col>4</xdr:col>
      <xdr:colOff>304800</xdr:colOff>
      <xdr:row>81</xdr:row>
      <xdr:rowOff>9525</xdr:rowOff>
    </xdr:to>
    <xdr:pic>
      <xdr:nvPicPr>
        <xdr:cNvPr id="65" name="Рисунок 61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52698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81</xdr:row>
      <xdr:rowOff>0</xdr:rowOff>
    </xdr:from>
    <xdr:to>
      <xdr:col>4</xdr:col>
      <xdr:colOff>304800</xdr:colOff>
      <xdr:row>81</xdr:row>
      <xdr:rowOff>9525</xdr:rowOff>
    </xdr:to>
    <xdr:pic>
      <xdr:nvPicPr>
        <xdr:cNvPr id="66" name="Рисунок 61">
          <a:extLst>
            <a:ext uri="{FF2B5EF4-FFF2-40B4-BE49-F238E27FC236}">
              <a16:creationId xmlns:a16="http://schemas.microsoft.com/office/drawing/2014/main" id="{00000000-0008-0000-27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52698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98</xdr:row>
      <xdr:rowOff>0</xdr:rowOff>
    </xdr:from>
    <xdr:to>
      <xdr:col>4</xdr:col>
      <xdr:colOff>304800</xdr:colOff>
      <xdr:row>98</xdr:row>
      <xdr:rowOff>9525</xdr:rowOff>
    </xdr:to>
    <xdr:pic>
      <xdr:nvPicPr>
        <xdr:cNvPr id="67" name="Рисунок 61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2308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98</xdr:row>
      <xdr:rowOff>0</xdr:rowOff>
    </xdr:from>
    <xdr:to>
      <xdr:col>4</xdr:col>
      <xdr:colOff>304800</xdr:colOff>
      <xdr:row>98</xdr:row>
      <xdr:rowOff>9525</xdr:rowOff>
    </xdr:to>
    <xdr:pic>
      <xdr:nvPicPr>
        <xdr:cNvPr id="68" name="Рисунок 61">
          <a:extLst>
            <a:ext uri="{FF2B5EF4-FFF2-40B4-BE49-F238E27FC236}">
              <a16:creationId xmlns:a16="http://schemas.microsoft.com/office/drawing/2014/main" id="{00000000-0008-0000-27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2308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97</xdr:row>
      <xdr:rowOff>0</xdr:rowOff>
    </xdr:from>
    <xdr:to>
      <xdr:col>4</xdr:col>
      <xdr:colOff>304800</xdr:colOff>
      <xdr:row>97</xdr:row>
      <xdr:rowOff>9525</xdr:rowOff>
    </xdr:to>
    <xdr:pic>
      <xdr:nvPicPr>
        <xdr:cNvPr id="69" name="Рисунок 61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1927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97</xdr:row>
      <xdr:rowOff>0</xdr:rowOff>
    </xdr:from>
    <xdr:to>
      <xdr:col>4</xdr:col>
      <xdr:colOff>304800</xdr:colOff>
      <xdr:row>97</xdr:row>
      <xdr:rowOff>9525</xdr:rowOff>
    </xdr:to>
    <xdr:pic>
      <xdr:nvPicPr>
        <xdr:cNvPr id="70" name="Рисунок 61">
          <a:extLst>
            <a:ext uri="{FF2B5EF4-FFF2-40B4-BE49-F238E27FC236}">
              <a16:creationId xmlns:a16="http://schemas.microsoft.com/office/drawing/2014/main" id="{00000000-0008-0000-27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1927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96</xdr:row>
      <xdr:rowOff>0</xdr:rowOff>
    </xdr:from>
    <xdr:to>
      <xdr:col>4</xdr:col>
      <xdr:colOff>304800</xdr:colOff>
      <xdr:row>96</xdr:row>
      <xdr:rowOff>9525</xdr:rowOff>
    </xdr:to>
    <xdr:pic>
      <xdr:nvPicPr>
        <xdr:cNvPr id="71" name="Рисунок 61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1546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96</xdr:row>
      <xdr:rowOff>0</xdr:rowOff>
    </xdr:from>
    <xdr:to>
      <xdr:col>4</xdr:col>
      <xdr:colOff>304800</xdr:colOff>
      <xdr:row>96</xdr:row>
      <xdr:rowOff>9525</xdr:rowOff>
    </xdr:to>
    <xdr:pic>
      <xdr:nvPicPr>
        <xdr:cNvPr id="72" name="Рисунок 61">
          <a:extLst>
            <a:ext uri="{FF2B5EF4-FFF2-40B4-BE49-F238E27FC236}">
              <a16:creationId xmlns:a16="http://schemas.microsoft.com/office/drawing/2014/main" id="{00000000-0008-0000-27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154680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100</xdr:row>
      <xdr:rowOff>0</xdr:rowOff>
    </xdr:from>
    <xdr:to>
      <xdr:col>4</xdr:col>
      <xdr:colOff>304800</xdr:colOff>
      <xdr:row>100</xdr:row>
      <xdr:rowOff>9525</xdr:rowOff>
    </xdr:to>
    <xdr:pic>
      <xdr:nvPicPr>
        <xdr:cNvPr id="73" name="Рисунок 61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3080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100</xdr:row>
      <xdr:rowOff>0</xdr:rowOff>
    </xdr:from>
    <xdr:to>
      <xdr:col>4</xdr:col>
      <xdr:colOff>304800</xdr:colOff>
      <xdr:row>100</xdr:row>
      <xdr:rowOff>9525</xdr:rowOff>
    </xdr:to>
    <xdr:pic>
      <xdr:nvPicPr>
        <xdr:cNvPr id="74" name="Рисунок 61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3080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304800</xdr:colOff>
      <xdr:row>101</xdr:row>
      <xdr:rowOff>9525</xdr:rowOff>
    </xdr:to>
    <xdr:pic>
      <xdr:nvPicPr>
        <xdr:cNvPr id="75" name="Рисунок 61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3461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101</xdr:row>
      <xdr:rowOff>0</xdr:rowOff>
    </xdr:from>
    <xdr:to>
      <xdr:col>4</xdr:col>
      <xdr:colOff>304800</xdr:colOff>
      <xdr:row>101</xdr:row>
      <xdr:rowOff>9525</xdr:rowOff>
    </xdr:to>
    <xdr:pic>
      <xdr:nvPicPr>
        <xdr:cNvPr id="76" name="Рисунок 61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34613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88</xdr:row>
      <xdr:rowOff>0</xdr:rowOff>
    </xdr:from>
    <xdr:to>
      <xdr:col>4</xdr:col>
      <xdr:colOff>304800</xdr:colOff>
      <xdr:row>88</xdr:row>
      <xdr:rowOff>9525</xdr:rowOff>
    </xdr:to>
    <xdr:pic>
      <xdr:nvPicPr>
        <xdr:cNvPr id="77" name="Рисунок 61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833687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88</xdr:row>
      <xdr:rowOff>0</xdr:rowOff>
    </xdr:from>
    <xdr:to>
      <xdr:col>4</xdr:col>
      <xdr:colOff>304800</xdr:colOff>
      <xdr:row>88</xdr:row>
      <xdr:rowOff>9525</xdr:rowOff>
    </xdr:to>
    <xdr:pic>
      <xdr:nvPicPr>
        <xdr:cNvPr id="78" name="Рисунок 61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833687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79</xdr:row>
      <xdr:rowOff>0</xdr:rowOff>
    </xdr:from>
    <xdr:to>
      <xdr:col>4</xdr:col>
      <xdr:colOff>304800</xdr:colOff>
      <xdr:row>79</xdr:row>
      <xdr:rowOff>9525</xdr:rowOff>
    </xdr:to>
    <xdr:pic>
      <xdr:nvPicPr>
        <xdr:cNvPr id="79" name="Рисунок 61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43935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78</xdr:row>
      <xdr:rowOff>0</xdr:rowOff>
    </xdr:from>
    <xdr:to>
      <xdr:col>4</xdr:col>
      <xdr:colOff>304800</xdr:colOff>
      <xdr:row>78</xdr:row>
      <xdr:rowOff>9525</xdr:rowOff>
    </xdr:to>
    <xdr:pic>
      <xdr:nvPicPr>
        <xdr:cNvPr id="80" name="Рисунок 61">
          <a:extLst>
            <a:ext uri="{FF2B5EF4-FFF2-40B4-BE49-F238E27FC236}">
              <a16:creationId xmlns:a16="http://schemas.microsoft.com/office/drawing/2014/main" id="{00000000-0008-0000-27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39077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75</xdr:row>
      <xdr:rowOff>0</xdr:rowOff>
    </xdr:from>
    <xdr:to>
      <xdr:col>4</xdr:col>
      <xdr:colOff>314325</xdr:colOff>
      <xdr:row>75</xdr:row>
      <xdr:rowOff>9525</xdr:rowOff>
    </xdr:to>
    <xdr:pic>
      <xdr:nvPicPr>
        <xdr:cNvPr id="81" name="Рисунок 56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2869525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75</xdr:row>
      <xdr:rowOff>0</xdr:rowOff>
    </xdr:from>
    <xdr:to>
      <xdr:col>4</xdr:col>
      <xdr:colOff>304800</xdr:colOff>
      <xdr:row>75</xdr:row>
      <xdr:rowOff>9525</xdr:rowOff>
    </xdr:to>
    <xdr:pic>
      <xdr:nvPicPr>
        <xdr:cNvPr id="82" name="Рисунок 61">
          <a:extLst>
            <a:ext uri="{FF2B5EF4-FFF2-40B4-BE49-F238E27FC236}">
              <a16:creationId xmlns:a16="http://schemas.microsoft.com/office/drawing/2014/main" id="{00000000-0008-0000-27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286952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76</xdr:row>
      <xdr:rowOff>0</xdr:rowOff>
    </xdr:from>
    <xdr:to>
      <xdr:col>4</xdr:col>
      <xdr:colOff>1419225</xdr:colOff>
      <xdr:row>76</xdr:row>
      <xdr:rowOff>9525</xdr:rowOff>
    </xdr:to>
    <xdr:pic>
      <xdr:nvPicPr>
        <xdr:cNvPr id="83" name="Рисунок 55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3221950"/>
          <a:ext cx="14192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76</xdr:row>
      <xdr:rowOff>0</xdr:rowOff>
    </xdr:from>
    <xdr:to>
      <xdr:col>4</xdr:col>
      <xdr:colOff>314325</xdr:colOff>
      <xdr:row>76</xdr:row>
      <xdr:rowOff>9525</xdr:rowOff>
    </xdr:to>
    <xdr:pic>
      <xdr:nvPicPr>
        <xdr:cNvPr id="84" name="Рисунок 56">
          <a:extLst>
            <a:ext uri="{FF2B5EF4-FFF2-40B4-BE49-F238E27FC236}">
              <a16:creationId xmlns:a16="http://schemas.microsoft.com/office/drawing/2014/main" id="{00000000-0008-0000-27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3221950"/>
          <a:ext cx="3143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76</xdr:row>
      <xdr:rowOff>0</xdr:rowOff>
    </xdr:from>
    <xdr:to>
      <xdr:col>4</xdr:col>
      <xdr:colOff>304800</xdr:colOff>
      <xdr:row>76</xdr:row>
      <xdr:rowOff>9525</xdr:rowOff>
    </xdr:to>
    <xdr:pic>
      <xdr:nvPicPr>
        <xdr:cNvPr id="85" name="Рисунок 61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3221950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77</xdr:row>
      <xdr:rowOff>0</xdr:rowOff>
    </xdr:from>
    <xdr:to>
      <xdr:col>4</xdr:col>
      <xdr:colOff>304800</xdr:colOff>
      <xdr:row>77</xdr:row>
      <xdr:rowOff>9525</xdr:rowOff>
    </xdr:to>
    <xdr:pic>
      <xdr:nvPicPr>
        <xdr:cNvPr id="86" name="Рисунок 61">
          <a:extLst>
            <a:ext uri="{FF2B5EF4-FFF2-40B4-BE49-F238E27FC236}">
              <a16:creationId xmlns:a16="http://schemas.microsoft.com/office/drawing/2014/main" id="{00000000-0008-0000-27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3460075"/>
          <a:ext cx="304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115</xdr:row>
      <xdr:rowOff>0</xdr:rowOff>
    </xdr:from>
    <xdr:to>
      <xdr:col>3</xdr:col>
      <xdr:colOff>514350</xdr:colOff>
      <xdr:row>115</xdr:row>
      <xdr:rowOff>9525</xdr:rowOff>
    </xdr:to>
    <xdr:pic>
      <xdr:nvPicPr>
        <xdr:cNvPr id="87" name="Рисунок 98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36680775"/>
          <a:ext cx="457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118</xdr:row>
      <xdr:rowOff>0</xdr:rowOff>
    </xdr:from>
    <xdr:to>
      <xdr:col>4</xdr:col>
      <xdr:colOff>1333500</xdr:colOff>
      <xdr:row>118</xdr:row>
      <xdr:rowOff>9525</xdr:rowOff>
    </xdr:to>
    <xdr:pic>
      <xdr:nvPicPr>
        <xdr:cNvPr id="88" name="Рисунок 98">
          <a:extLst>
            <a:ext uri="{FF2B5EF4-FFF2-40B4-BE49-F238E27FC236}">
              <a16:creationId xmlns:a16="http://schemas.microsoft.com/office/drawing/2014/main" id="{00000000-0008-0000-27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37423725"/>
          <a:ext cx="1266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116</xdr:row>
      <xdr:rowOff>0</xdr:rowOff>
    </xdr:from>
    <xdr:to>
      <xdr:col>3</xdr:col>
      <xdr:colOff>514350</xdr:colOff>
      <xdr:row>116</xdr:row>
      <xdr:rowOff>9525</xdr:rowOff>
    </xdr:to>
    <xdr:pic>
      <xdr:nvPicPr>
        <xdr:cNvPr id="89" name="Рисунок 98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36985575"/>
          <a:ext cx="457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118</xdr:row>
      <xdr:rowOff>0</xdr:rowOff>
    </xdr:from>
    <xdr:to>
      <xdr:col>4</xdr:col>
      <xdr:colOff>1333500</xdr:colOff>
      <xdr:row>118</xdr:row>
      <xdr:rowOff>9525</xdr:rowOff>
    </xdr:to>
    <xdr:pic>
      <xdr:nvPicPr>
        <xdr:cNvPr id="90" name="Рисунок 98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37423725"/>
          <a:ext cx="12668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122</xdr:row>
      <xdr:rowOff>0</xdr:rowOff>
    </xdr:from>
    <xdr:to>
      <xdr:col>4</xdr:col>
      <xdr:colOff>1657350</xdr:colOff>
      <xdr:row>122</xdr:row>
      <xdr:rowOff>9525</xdr:rowOff>
    </xdr:to>
    <xdr:pic>
      <xdr:nvPicPr>
        <xdr:cNvPr id="91" name="Рисунок 98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39052500"/>
          <a:ext cx="15906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&#1057;&#1077;&#1088;&#1075;&#1077;&#1081;\Downloads\Users\user\Desktop\&#1057;&#1050;&#1042;%203&#1055;%20%20&#1071;&#1089;&#1085;&#1086;&#1087;&#1086;&#1083;&#1103;&#1085;&#1089;&#1082;&#1072;&#1103;\&#1054;&#1090;&#1087;&#1088;&#1072;&#1074;&#1083;&#1077;&#1085;&#1085;&#1099;&#1077;%20&#1085;&#1072;%20&#1045;&#1045;%20&#1041;&#1080;&#1088;&#1083;&#1086;&#1074;&#1072;%20%2023072019\DECCA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89;&#1090;&#1086;&#1083;%20&#1085;&#1072;\&#1057;&#1052;&#1056;\2005\&#1053;&#1053;&#1055;\&#1055;&#1088;&#1077;&#1076;&#1074;&#1072;&#1088;&#1080;&#1090;&#1077;&#1083;&#1100;&#1085;&#1086;\&#1044;&#1086;&#1082;&#1091;&#1084;&#1077;&#1085;&#1090;&#1099;%20&#1080;&#1079;%20&#1059;&#1059;&#1041;&#1056;\&#1065;&#1077;&#1083;&#1082;&#1072;&#1085;&#1086;&#1074;&#1089;&#1082;&#1072;&#1103;_17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&#1052;&#1086;&#1080;%20&#1076;&#1086;&#1082;&#1091;&#1084;&#1077;&#1085;&#1090;&#1099;\&#1057;%20&#1088;&#1072;&#1073;&#1086;&#1095;&#1077;&#1075;&#1086;%20&#1089;&#1090;&#1086;&#1083;&#1072;\For_2RB\&#1055;&#1088;&#1086;&#1077;&#1082;&#1090;%2057&#104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7;%20&#1088;&#1072;&#1073;&#1086;&#1095;&#1077;&#1075;&#1086;%20&#1089;&#1090;&#1086;&#1083;&#1072;\For_2RB\&#1055;&#1088;&#1086;&#1077;&#1082;&#1090;%2057&#104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&#1041;&#1059;&#1056;&#1045;&#1053;&#1048;&#1045;\_&#1058;&#1045;&#1053;&#1044;&#1045;&#1056;\2021&#1075;\_&#1058;&#1077;&#1082;&#1091;&#1097;&#1080;&#1077;%20&#1090;&#1077;&#1085;&#1076;&#1077;&#1088;&#1072;\&#1044;&#1086;&#1087;.%20&#1088;&#1072;&#1073;&#1086;&#1090;&#1099;%20(403&#1043;)\1.%20&#1055;&#1072;&#1082;&#1077;&#1090;%20&#1076;&#1086;&#1082;&#1091;&#1084;&#1077;&#1085;&#1090;&#1086;&#1074;\2.%20&#1060;&#1086;&#1088;&#1084;&#1072;%20&#1088;&#1072;&#1089;&#1095;&#1077;&#1090;&#107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8;&#1072;&#1089;&#1095;&#1077;&#1090;%20&#1059;&#1055;&#1040;%20100%2062%20&#1052;&#1080;&#1093;&#1072;&#1081;&#1083;.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Users\TemnikovaSV\Documents\&#1058;&#1077;&#1084;&#1085;&#1080;&#1082;&#1086;&#1074;&#1072;\&#1041;&#1059;&#1056;&#1045;&#1053;&#1048;&#1045;%20&#1057;&#1083;&#1072;&#1076;&#1082;&#1086;&#1074;&#1089;&#1082;&#1086;-&#1047;&#1072;&#1088;&#1077;&#1095;&#1085;&#1086;&#1077;\&#1050;&#1086;&#1096;&#1080;&#1085;&#1089;&#1082;&#1086;&#1077;%20&#1084;&#1077;&#1089;&#1090;&#1086;&#1088;&#1086;&#1078;&#1076;&#1077;&#1085;&#1080;&#1077;\22.03.2018\&#1044;&#1083;&#1103;%20&#1047;&#1072;&#1082;&#1072;&#1079;&#1095;&#1080;&#1082;&#1072;&#1055;&#1045;&#1056;&#1045;&#1058;&#1054;&#1056;&#1046;&#1050;&#1040;%20&#1051;&#1054;&#1058;%20&#8470;%201%20&#1050;&#1086;&#1096;.&#1084;-&#1080;&#1077;%20%2015.03.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gistr\&#1089;&#1074;&#1086;&#1076;&#1082;&#1080;\Users\operator\AppData\Roaming\Microsoft\Excel\&#1054;&#1090;&#1095;&#1077;&#1090;%20&#1087;&#1086;%20&#1089;&#1082;&#1074;.%20&#8470;%202_&#1084;&#1077;&#1089;&#1090;.&#1056;.&#1058;&#1088;&#1077;&#1073;&#108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&#1057;&#1050;&#1042;%203&#1055;%20%20&#1071;&#1089;&#1085;&#1086;&#1087;&#1086;&#1083;&#1103;&#1085;&#1089;&#1082;&#1072;&#1103;\&#1054;&#1090;&#1087;&#1088;&#1072;&#1074;&#1083;&#1077;&#1085;&#1085;&#1099;&#1077;%20&#1085;&#1072;%20&#1045;&#1045;%20&#1041;&#1080;&#1088;&#1083;&#1086;&#1074;&#1072;%20%2023072019\GULF\AMIGO\16111190\16-11W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6;&#1072;&#1089;&#1095;&#1077;&#1090;_&#1090;&#1088;_&#1079;&#1090;\&#1053;&#1086;&#1103;&#1073;&#1088;&#1100;\&#1057;&#1090;&#1088;&#1077;&#1078;&#1052;-&#104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&#1052;&#1086;&#1080;%20&#1076;&#1086;&#1082;&#1091;&#1084;&#1077;&#1085;&#1090;&#1099;\&#1056;&#1072;&#1089;&#1095;&#1077;&#1090;_&#1090;&#1088;_&#1079;&#1090;\&#1053;&#1086;&#1103;&#1073;&#1088;&#1100;\&#1057;&#1090;&#1088;&#1077;&#1078;&#1052;-&#104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ganskpdc-ofs\general\WSS%20Training%20Programme\Drilling%20Report\windows\TEMP\Local%20Copy%20Drilling%20Report\Older%20Versions%20of%20Drilling%20Report\Drilling%20EOW%20Report%2001%20M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&#1057;&#1050;&#1042;%203&#1055;%20%20&#1071;&#1089;&#1085;&#1086;&#1087;&#1086;&#1083;&#1103;&#1085;&#1089;&#1082;&#1072;&#1103;\&#1054;&#1090;&#1087;&#1088;&#1072;&#1074;&#1083;&#1077;&#1085;&#1085;&#1099;&#1077;%20&#1085;&#1072;%20&#1045;&#1045;%20&#1041;&#1080;&#1088;&#1083;&#1086;&#1074;&#1072;%20%2023072019\Documents%20and%20Settings\user\&#1052;&#1086;&#1080;%20&#1076;&#1086;&#1082;&#1091;&#1084;&#1077;&#1085;&#1090;&#1099;\AVG\Udmurtiya\ZAO%20PNBK\&#1041;&#1077;&#1083;&#1082;&#1072;&#1084;&#1085;&#1077;&#1092;&#1090;&#1100;\&#1041;&#1077;&#1083;&#1082;&#1072;&#1084;&#1085;&#1077;&#1092;&#1090;&#1100;_&#1087;&#1088;&#1086;&#1075;&#1088;&#1072;&#1084;\Real_&#1041;&#1099;&#1075;&#1080;&#1085;&#1089;&#1082;&#1072;&#1103;_%23%23%23%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gistr\&#1089;&#1074;&#1086;&#1076;&#1082;&#1080;\Users\operator\AppData\Roaming\Microsoft\Excel\&#1055;&#1077;&#1088;&#1074;&#1086;&#1084;&#1072;&#1081;&#1089;&#1082;&#1086;&#1077;%2032-543%20&#1047;&#1041;&#105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&#1052;&#1086;&#1080;%20&#1076;&#1086;&#1082;&#1091;&#1084;&#1077;&#1085;&#1090;&#1099;\&#1089;&#1090;&#1086;&#1083;%20&#1085;&#1072;\&#1057;&#1052;&#1056;\2005\&#1053;&#1053;&#1055;\&#1055;&#1088;&#1077;&#1076;&#1074;&#1072;&#1088;&#1080;&#1090;&#1077;&#1083;&#1100;&#1085;&#1086;\&#1044;&#1086;&#1082;&#1091;&#1084;&#1077;&#1085;&#1090;&#1099;%20&#1080;&#1079;%20&#1059;&#1059;&#1041;&#1056;\&#1065;&#1077;&#1083;&#1082;&#1072;&#1085;&#1086;&#1074;&#1089;&#1082;&#1072;&#1103;_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AY"/>
    </sheetNames>
    <sheetDataSet>
      <sheetData sheetId="0" refreshError="1"/>
      <sheetData sheetId="1">
        <row r="8">
          <cell r="F8" t="str">
            <v/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перевозка"/>
      <sheetName val="демонтаж"/>
      <sheetName val="монтаж"/>
      <sheetName val="бурение"/>
      <sheetName val="крепление"/>
      <sheetName val="освоение"/>
      <sheetName val="Пром1"/>
      <sheetName val="sapactivexlhiddensheet"/>
      <sheetName val="s"/>
      <sheetName val="1.401.2"/>
      <sheetName val=""/>
      <sheetName val="ст ГТМ"/>
      <sheetName val="ЗП"/>
      <sheetName val="2003 (215862 тн)"/>
      <sheetName val="свод (под ключ) "/>
      <sheetName val="13 NGDO"/>
      <sheetName val="Вариант1_безНовыхРабот"/>
      <sheetName val="Скв"/>
      <sheetName val="Возвраты и приобщения"/>
      <sheetName val="ЗП_ЮНГ"/>
      <sheetName val="Насосы"/>
      <sheetName val="Destination"/>
      <sheetName val="Курс $"/>
      <sheetName val="1.411.1"/>
      <sheetName val="Лист2"/>
      <sheetName val="Статьи бюджета"/>
    </sheetNames>
    <sheetDataSet>
      <sheetData sheetId="0">
        <row r="4">
          <cell r="F4">
            <v>34.481999999999999</v>
          </cell>
        </row>
      </sheetData>
      <sheetData sheetId="1"/>
      <sheetData sheetId="2"/>
      <sheetData sheetId="3" refreshError="1">
        <row r="4">
          <cell r="F4">
            <v>34.481999999999999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4">
          <cell r="F4">
            <v>34.481999999999999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испытания"/>
      <sheetName val="Основная таблица"/>
      <sheetName val="первич"/>
      <sheetName val="3 Бар."/>
      <sheetName val="3 Бар. (3)"/>
      <sheetName val="3 Бар. (2)"/>
      <sheetName val="204"/>
      <sheetName val="204 (июль)"/>
      <sheetName val="87 (июль)"/>
      <sheetName val="87 (июль) (2)"/>
      <sheetName val="87 (июль) (сдача)"/>
      <sheetName val="82"/>
      <sheetName val="82 (2)"/>
      <sheetName val="93"/>
      <sheetName val="93 (2)"/>
      <sheetName val="94"/>
      <sheetName val="94 (2)"/>
      <sheetName val="204 (2)"/>
      <sheetName val="205"/>
      <sheetName val="5"/>
      <sheetName val="92"/>
      <sheetName val="92 (2)"/>
      <sheetName val="92 (3)"/>
      <sheetName val="3.3.31."/>
      <sheetName val="Остановки"/>
      <sheetName val="монтаж"/>
      <sheetName val="XLR_NoRangeSheet"/>
      <sheetName val="бурение"/>
      <sheetName val="Транспорт"/>
      <sheetName val="расчет_испытания"/>
      <sheetName val="Основная_таблица"/>
      <sheetName val="3_Бар_"/>
      <sheetName val="3_Бар__(3)"/>
      <sheetName val="3_Бар__(2)"/>
      <sheetName val="204_(июль)"/>
      <sheetName val="87_(июль)"/>
      <sheetName val="87_(июль)_(2)"/>
      <sheetName val="87_(июль)_(сдача)"/>
      <sheetName val="82_(2)"/>
      <sheetName val="93_(2)"/>
      <sheetName val="94_(2)"/>
      <sheetName val="204_(2)"/>
      <sheetName val="92_(2)"/>
      <sheetName val="92_(3)"/>
      <sheetName val="3_3_31_"/>
      <sheetName val="Ф-2"/>
      <sheetName val="W5600211"/>
      <sheetName val="General_Svodka"/>
      <sheetName val="1.411.1"/>
    </sheetNames>
    <sheetDataSet>
      <sheetData sheetId="0" refreshError="1"/>
      <sheetData sheetId="1" refreshError="1">
        <row r="20">
          <cell r="A20" t="str">
            <v>1.</v>
          </cell>
          <cell r="B20" t="str">
            <v>Подготовительные работы к строительству</v>
          </cell>
        </row>
        <row r="21">
          <cell r="B21" t="str">
            <v>-охрана окружающей среды</v>
          </cell>
        </row>
        <row r="22">
          <cell r="B22" t="str">
            <v>-возврат по разд.1</v>
          </cell>
        </row>
        <row r="23">
          <cell r="B23" t="str">
            <v>-неизменные затраты</v>
          </cell>
        </row>
        <row r="24">
          <cell r="B24" t="str">
            <v>в т.ч. возврат</v>
          </cell>
        </row>
        <row r="25">
          <cell r="B25" t="str">
            <v>-переменные затраты</v>
          </cell>
        </row>
        <row r="26">
          <cell r="B26" t="str">
            <v>в т.ч. возврат</v>
          </cell>
        </row>
        <row r="27">
          <cell r="B27" t="str">
            <v>-транспортировка грузов</v>
          </cell>
        </row>
        <row r="28">
          <cell r="A28" t="str">
            <v>1.1</v>
          </cell>
          <cell r="B28" t="str">
            <v>Разработка сухого грунта II кат.бульд.</v>
          </cell>
        </row>
        <row r="29">
          <cell r="B29" t="str">
            <v>-строительство</v>
          </cell>
        </row>
        <row r="30">
          <cell r="B30" t="str">
            <v>-разборка</v>
          </cell>
        </row>
        <row r="31">
          <cell r="A31" t="str">
            <v>1.2</v>
          </cell>
          <cell r="B31" t="str">
            <v>Рытье траншей экскаватором для водовода</v>
          </cell>
        </row>
        <row r="32">
          <cell r="B32" t="str">
            <v>-строительство</v>
          </cell>
        </row>
        <row r="33">
          <cell r="B33" t="str">
            <v>-разборка</v>
          </cell>
        </row>
        <row r="34">
          <cell r="A34" t="str">
            <v>1.3</v>
          </cell>
          <cell r="B34" t="str">
            <v>Линейные трубопроводы</v>
          </cell>
        </row>
        <row r="35">
          <cell r="B35" t="str">
            <v>-строительство</v>
          </cell>
        </row>
        <row r="36">
          <cell r="B36" t="str">
            <v>-разборка</v>
          </cell>
        </row>
        <row r="37">
          <cell r="B37" t="str">
            <v>в т.ч. возврат</v>
          </cell>
        </row>
        <row r="38">
          <cell r="A38" t="str">
            <v>1.4</v>
          </cell>
          <cell r="B38" t="str">
            <v>Расчистка трассы(под в/в ЛЭП,водовод)</v>
          </cell>
        </row>
        <row r="39">
          <cell r="A39" t="str">
            <v>1.5</v>
          </cell>
          <cell r="B39" t="str">
            <v>Опоры для н/в ЛЭП</v>
          </cell>
        </row>
        <row r="40">
          <cell r="B40" t="str">
            <v>-строительство</v>
          </cell>
        </row>
        <row r="41">
          <cell r="B41" t="str">
            <v>-разборка</v>
          </cell>
        </row>
        <row r="42">
          <cell r="B42" t="str">
            <v>в т.ч. возврат</v>
          </cell>
        </row>
        <row r="43">
          <cell r="A43" t="str">
            <v>1.6</v>
          </cell>
          <cell r="B43" t="str">
            <v>Опоры для в/в ЛЭП</v>
          </cell>
        </row>
        <row r="44">
          <cell r="B44" t="str">
            <v>-строительство</v>
          </cell>
        </row>
        <row r="45">
          <cell r="B45" t="str">
            <v>-разборка</v>
          </cell>
        </row>
        <row r="46">
          <cell r="B46" t="str">
            <v>в т.ч. возврат</v>
          </cell>
        </row>
        <row r="47">
          <cell r="A47" t="str">
            <v>1.7</v>
          </cell>
          <cell r="B47" t="str">
            <v>Подвеска аллюминиевых проводов н/в ЛЭП</v>
          </cell>
        </row>
        <row r="48">
          <cell r="B48" t="str">
            <v>-строительство</v>
          </cell>
        </row>
        <row r="49">
          <cell r="B49" t="str">
            <v>-разборка</v>
          </cell>
        </row>
        <row r="50">
          <cell r="B50" t="str">
            <v>в т.ч. возврат</v>
          </cell>
        </row>
        <row r="51">
          <cell r="A51" t="str">
            <v>1.8</v>
          </cell>
          <cell r="B51" t="str">
            <v>Подвеска аллюминиевых проводов в/в ЛЭП</v>
          </cell>
        </row>
        <row r="52">
          <cell r="B52" t="str">
            <v>-строительство</v>
          </cell>
        </row>
        <row r="53">
          <cell r="B53" t="str">
            <v>-разборка</v>
          </cell>
        </row>
        <row r="54">
          <cell r="B54" t="str">
            <v>в т.ч. возврат</v>
          </cell>
        </row>
        <row r="55">
          <cell r="A55" t="str">
            <v>1.9</v>
          </cell>
          <cell r="B55" t="str">
            <v>Дорога профилированная</v>
          </cell>
        </row>
        <row r="56">
          <cell r="A56" t="str">
            <v>1.10</v>
          </cell>
          <cell r="B56" t="str">
            <v>Дорога гравийная</v>
          </cell>
        </row>
        <row r="57">
          <cell r="A57" t="str">
            <v>1.11</v>
          </cell>
          <cell r="B57" t="str">
            <v>Устройство насыпи</v>
          </cell>
        </row>
        <row r="58">
          <cell r="A58" t="str">
            <v>2.</v>
          </cell>
          <cell r="B58" t="str">
            <v>Вышкостроение и монтаж оборудования</v>
          </cell>
        </row>
        <row r="59">
          <cell r="B59" t="str">
            <v>-транспортировка грузов</v>
          </cell>
        </row>
        <row r="60">
          <cell r="B60" t="str">
            <v>-транспортировка вахт</v>
          </cell>
        </row>
        <row r="61">
          <cell r="A61" t="str">
            <v>3.</v>
          </cell>
          <cell r="B61" t="str">
            <v>Подготовительные работы к бурению</v>
          </cell>
        </row>
        <row r="62">
          <cell r="A62" t="str">
            <v>4.</v>
          </cell>
          <cell r="B62" t="str">
            <v>Бурение</v>
          </cell>
        </row>
        <row r="63">
          <cell r="B63" t="str">
            <v>-под направление</v>
          </cell>
        </row>
        <row r="64">
          <cell r="B64" t="str">
            <v>-под кондуктор</v>
          </cell>
        </row>
        <row r="65">
          <cell r="B65" t="str">
            <v>-под техколонну</v>
          </cell>
        </row>
        <row r="66">
          <cell r="B66" t="str">
            <v>-под экспл.колонну в интерв.0251-2347</v>
          </cell>
        </row>
        <row r="67">
          <cell r="A67" t="str">
            <v>5.</v>
          </cell>
          <cell r="B67" t="str">
            <v>Крепление</v>
          </cell>
        </row>
        <row r="68">
          <cell r="B68" t="str">
            <v>направлением</v>
          </cell>
        </row>
        <row r="69">
          <cell r="B69" t="str">
            <v>-неизменные затраты</v>
          </cell>
        </row>
        <row r="70">
          <cell r="B70" t="str">
            <v>-переменные затраты</v>
          </cell>
        </row>
        <row r="71">
          <cell r="B71" t="str">
            <v>кондуктором</v>
          </cell>
        </row>
        <row r="72">
          <cell r="B72" t="str">
            <v>-неизменные затраты</v>
          </cell>
        </row>
        <row r="73">
          <cell r="B73" t="str">
            <v>-переменные затраты</v>
          </cell>
        </row>
        <row r="74">
          <cell r="B74" t="str">
            <v>техколонной</v>
          </cell>
        </row>
        <row r="75">
          <cell r="B75" t="str">
            <v>-неизменные затраты</v>
          </cell>
        </row>
        <row r="76">
          <cell r="B76" t="str">
            <v>-переменные затраты</v>
          </cell>
        </row>
        <row r="77">
          <cell r="B77" t="str">
            <v>экспл.колонной</v>
          </cell>
        </row>
        <row r="78">
          <cell r="B78" t="str">
            <v>-неизменные затраты</v>
          </cell>
        </row>
        <row r="79">
          <cell r="B79" t="str">
            <v>-переменные затраты</v>
          </cell>
        </row>
        <row r="80">
          <cell r="B80" t="str">
            <v>заливка шурфа</v>
          </cell>
        </row>
        <row r="81">
          <cell r="B81" t="str">
            <v>-транспортировка грузов по разд. 3,4,5</v>
          </cell>
        </row>
        <row r="82">
          <cell r="B82" t="str">
            <v>-транспортировка вахт по разд. 3,4,5</v>
          </cell>
        </row>
        <row r="83">
          <cell r="A83" t="str">
            <v>6.</v>
          </cell>
          <cell r="B83" t="str">
            <v>Испытание с передвижного станка</v>
          </cell>
        </row>
        <row r="84">
          <cell r="A84" t="str">
            <v>7.</v>
          </cell>
          <cell r="B84" t="str">
            <v>Кислотная обработка</v>
          </cell>
        </row>
        <row r="85">
          <cell r="A85" t="str">
            <v>8.</v>
          </cell>
          <cell r="B85" t="str">
            <v>Работа пластоиспытателем</v>
          </cell>
        </row>
        <row r="86">
          <cell r="B86" t="str">
            <v>-транспортировка грузов по разд. 6,7,8</v>
          </cell>
        </row>
        <row r="87">
          <cell r="B87" t="str">
            <v>-транспортировка вахт по разд. 6,7,8</v>
          </cell>
        </row>
        <row r="88">
          <cell r="A88" t="str">
            <v>9.</v>
          </cell>
          <cell r="B88" t="str">
            <v>Монтаж-демонтаж передвижного станка</v>
          </cell>
        </row>
        <row r="89">
          <cell r="B89" t="str">
            <v>-транспортировка грузов</v>
          </cell>
        </row>
        <row r="90">
          <cell r="B90" t="str">
            <v>-транспортировка вахт</v>
          </cell>
        </row>
        <row r="91">
          <cell r="A91" t="str">
            <v>10.</v>
          </cell>
          <cell r="B91" t="str">
            <v>Зимнее удорожание по 1.,2. И 9. разд.</v>
          </cell>
        </row>
        <row r="92">
          <cell r="A92" t="str">
            <v>11.</v>
          </cell>
          <cell r="B92" t="str">
            <v>Эксплуатация котельной</v>
          </cell>
        </row>
        <row r="93">
          <cell r="A93" t="str">
            <v>12.</v>
          </cell>
          <cell r="B93" t="str">
            <v>Итого прямых затрат</v>
          </cell>
        </row>
        <row r="94">
          <cell r="A94" t="str">
            <v>13.</v>
          </cell>
          <cell r="B94" t="str">
            <v>Накладные расходы от суммы прямых затрат</v>
          </cell>
        </row>
        <row r="95">
          <cell r="A95" t="str">
            <v>14.</v>
          </cell>
          <cell r="B95" t="str">
            <v>Плановые накопления от суммы 12. И 13.</v>
          </cell>
        </row>
        <row r="96">
          <cell r="A96" t="str">
            <v>15</v>
          </cell>
          <cell r="B96" t="str">
            <v>Лабораторные анализы</v>
          </cell>
        </row>
        <row r="97">
          <cell r="A97" t="str">
            <v>16.</v>
          </cell>
          <cell r="B97" t="str">
            <v>Транспортировка грузов (общ.)</v>
          </cell>
        </row>
        <row r="98">
          <cell r="A98" t="str">
            <v>17.</v>
          </cell>
          <cell r="B98" t="str">
            <v>Транспортировка вахт (общ.)</v>
          </cell>
        </row>
        <row r="99">
          <cell r="A99" t="str">
            <v>18.</v>
          </cell>
          <cell r="B99" t="str">
            <v>Топографо-геодезические работы</v>
          </cell>
        </row>
        <row r="100">
          <cell r="A100" t="str">
            <v>19.</v>
          </cell>
          <cell r="B100" t="str">
            <v>Скважина на воду</v>
          </cell>
        </row>
        <row r="101">
          <cell r="A101" t="str">
            <v>20.</v>
          </cell>
          <cell r="B101" t="str">
            <v>Итого по 1-19 разделам</v>
          </cell>
        </row>
        <row r="102">
          <cell r="A102" t="str">
            <v>21.</v>
          </cell>
          <cell r="B102" t="str">
            <v>Непредвиденные затраты</v>
          </cell>
        </row>
        <row r="103">
          <cell r="A103" t="str">
            <v>22.</v>
          </cell>
          <cell r="B103" t="str">
            <v>ПГР</v>
          </cell>
        </row>
        <row r="104">
          <cell r="A104" t="str">
            <v>23.</v>
          </cell>
          <cell r="B104" t="str">
            <v>Налоги</v>
          </cell>
        </row>
        <row r="105">
          <cell r="A105" t="str">
            <v>24.</v>
          </cell>
          <cell r="B105" t="str">
            <v>Всего</v>
          </cell>
        </row>
        <row r="106">
          <cell r="A106" t="str">
            <v>25.</v>
          </cell>
          <cell r="B106" t="str">
            <v>в т.ч. возврат</v>
          </cell>
        </row>
        <row r="107">
          <cell r="A107" t="str">
            <v>26.</v>
          </cell>
          <cell r="B107" t="str">
            <v>Сметная стоимость за вычетом возврата</v>
          </cell>
        </row>
        <row r="108">
          <cell r="A108" t="str">
            <v>27.</v>
          </cell>
          <cell r="B108" t="str">
            <v>Налог за пользование недрами</v>
          </cell>
        </row>
        <row r="109">
          <cell r="A109" t="str">
            <v>28.</v>
          </cell>
          <cell r="B109" t="str">
            <v>Отвод земель</v>
          </cell>
        </row>
        <row r="110">
          <cell r="A110" t="str">
            <v>29.</v>
          </cell>
          <cell r="B110" t="str">
            <v>Всего к оплате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испытания"/>
      <sheetName val="Основная таблица"/>
      <sheetName val="первич"/>
      <sheetName val="3 Бар."/>
      <sheetName val="3 Бар. (3)"/>
      <sheetName val="3 Бар. (2)"/>
      <sheetName val="204"/>
      <sheetName val="204 (июль)"/>
      <sheetName val="87 (июль)"/>
      <sheetName val="87 (июль) (2)"/>
      <sheetName val="87 (июль) (сдача)"/>
      <sheetName val="82"/>
      <sheetName val="82 (2)"/>
      <sheetName val="93"/>
      <sheetName val="93 (2)"/>
      <sheetName val="94"/>
      <sheetName val="94 (2)"/>
      <sheetName val="204 (2)"/>
      <sheetName val="205"/>
      <sheetName val="5"/>
      <sheetName val="92"/>
      <sheetName val="92 (2)"/>
      <sheetName val="92 (3)"/>
      <sheetName val="Транспорт"/>
      <sheetName val="3.3.31."/>
      <sheetName val="расчет_испытания"/>
      <sheetName val="Основная_таблица"/>
      <sheetName val="3_Бар_"/>
      <sheetName val="3_Бар__(3)"/>
      <sheetName val="3_Бар__(2)"/>
      <sheetName val="204_(июль)"/>
      <sheetName val="87_(июль)"/>
      <sheetName val="87_(июль)_(2)"/>
      <sheetName val="87_(июль)_(сдача)"/>
      <sheetName val="82_(2)"/>
      <sheetName val="93_(2)"/>
      <sheetName val="94_(2)"/>
      <sheetName val="204_(2)"/>
      <sheetName val="92_(2)"/>
      <sheetName val="92_(3)"/>
      <sheetName val="3_3_31_"/>
      <sheetName val="бурение"/>
      <sheetName val="Остановки"/>
      <sheetName val="монтаж"/>
      <sheetName val="XLR_NoRangeSheet"/>
      <sheetName val="Ф-2"/>
      <sheetName val="W5600211"/>
      <sheetName val="General_Svodka"/>
      <sheetName val="1.411.1"/>
    </sheetNames>
    <sheetDataSet>
      <sheetData sheetId="0" refreshError="1"/>
      <sheetData sheetId="1" refreshError="1">
        <row r="20">
          <cell r="A20" t="str">
            <v>1.</v>
          </cell>
          <cell r="B20" t="str">
            <v>Подготовительные работы к строительству</v>
          </cell>
        </row>
        <row r="21">
          <cell r="B21" t="str">
            <v>-охрана окружающей среды</v>
          </cell>
        </row>
        <row r="22">
          <cell r="B22" t="str">
            <v>-возврат по разд.1</v>
          </cell>
        </row>
        <row r="23">
          <cell r="B23" t="str">
            <v>-неизменные затраты</v>
          </cell>
        </row>
        <row r="24">
          <cell r="B24" t="str">
            <v>в т.ч. возврат</v>
          </cell>
        </row>
        <row r="25">
          <cell r="B25" t="str">
            <v>-переменные затраты</v>
          </cell>
        </row>
        <row r="26">
          <cell r="B26" t="str">
            <v>в т.ч. возврат</v>
          </cell>
        </row>
        <row r="27">
          <cell r="B27" t="str">
            <v>-транспортировка грузов</v>
          </cell>
        </row>
        <row r="28">
          <cell r="A28" t="str">
            <v>1.1</v>
          </cell>
          <cell r="B28" t="str">
            <v>Разработка сухого грунта II кат.бульд.</v>
          </cell>
        </row>
        <row r="29">
          <cell r="B29" t="str">
            <v>-строительство</v>
          </cell>
        </row>
        <row r="30">
          <cell r="B30" t="str">
            <v>-разборка</v>
          </cell>
        </row>
        <row r="31">
          <cell r="A31" t="str">
            <v>1.2</v>
          </cell>
          <cell r="B31" t="str">
            <v>Рытье траншей экскаватором для водовода</v>
          </cell>
        </row>
        <row r="32">
          <cell r="B32" t="str">
            <v>-строительство</v>
          </cell>
        </row>
        <row r="33">
          <cell r="B33" t="str">
            <v>-разборка</v>
          </cell>
        </row>
        <row r="34">
          <cell r="A34" t="str">
            <v>1.3</v>
          </cell>
          <cell r="B34" t="str">
            <v>Линейные трубопроводы</v>
          </cell>
        </row>
        <row r="35">
          <cell r="B35" t="str">
            <v>-строительство</v>
          </cell>
        </row>
        <row r="36">
          <cell r="B36" t="str">
            <v>-разборка</v>
          </cell>
        </row>
        <row r="37">
          <cell r="B37" t="str">
            <v>в т.ч. возврат</v>
          </cell>
        </row>
        <row r="38">
          <cell r="A38" t="str">
            <v>1.4</v>
          </cell>
          <cell r="B38" t="str">
            <v>Расчистка трассы(под в/в ЛЭП,водовод)</v>
          </cell>
        </row>
        <row r="39">
          <cell r="A39" t="str">
            <v>1.5</v>
          </cell>
          <cell r="B39" t="str">
            <v>Опоры для н/в ЛЭП</v>
          </cell>
        </row>
        <row r="40">
          <cell r="B40" t="str">
            <v>-строительство</v>
          </cell>
        </row>
        <row r="41">
          <cell r="B41" t="str">
            <v>-разборка</v>
          </cell>
        </row>
        <row r="42">
          <cell r="B42" t="str">
            <v>в т.ч. возврат</v>
          </cell>
        </row>
        <row r="43">
          <cell r="A43" t="str">
            <v>1.6</v>
          </cell>
          <cell r="B43" t="str">
            <v>Опоры для в/в ЛЭП</v>
          </cell>
        </row>
        <row r="44">
          <cell r="B44" t="str">
            <v>-строительство</v>
          </cell>
        </row>
        <row r="45">
          <cell r="B45" t="str">
            <v>-разборка</v>
          </cell>
        </row>
        <row r="46">
          <cell r="B46" t="str">
            <v>в т.ч. возврат</v>
          </cell>
        </row>
        <row r="47">
          <cell r="A47" t="str">
            <v>1.7</v>
          </cell>
          <cell r="B47" t="str">
            <v>Подвеска аллюминиевых проводов н/в ЛЭП</v>
          </cell>
        </row>
        <row r="48">
          <cell r="B48" t="str">
            <v>-строительство</v>
          </cell>
        </row>
        <row r="49">
          <cell r="B49" t="str">
            <v>-разборка</v>
          </cell>
        </row>
        <row r="50">
          <cell r="B50" t="str">
            <v>в т.ч. возврат</v>
          </cell>
        </row>
        <row r="51">
          <cell r="A51" t="str">
            <v>1.8</v>
          </cell>
          <cell r="B51" t="str">
            <v>Подвеска аллюминиевых проводов в/в ЛЭП</v>
          </cell>
        </row>
        <row r="52">
          <cell r="B52" t="str">
            <v>-строительство</v>
          </cell>
        </row>
        <row r="53">
          <cell r="B53" t="str">
            <v>-разборка</v>
          </cell>
        </row>
        <row r="54">
          <cell r="B54" t="str">
            <v>в т.ч. возврат</v>
          </cell>
        </row>
        <row r="55">
          <cell r="A55" t="str">
            <v>1.9</v>
          </cell>
          <cell r="B55" t="str">
            <v>Дорога профилированная</v>
          </cell>
        </row>
        <row r="56">
          <cell r="A56" t="str">
            <v>1.10</v>
          </cell>
          <cell r="B56" t="str">
            <v>Дорога гравийная</v>
          </cell>
        </row>
        <row r="57">
          <cell r="A57" t="str">
            <v>1.11</v>
          </cell>
          <cell r="B57" t="str">
            <v>Устройство насыпи</v>
          </cell>
        </row>
        <row r="58">
          <cell r="A58" t="str">
            <v>2.</v>
          </cell>
          <cell r="B58" t="str">
            <v>Вышкостроение и монтаж оборудования</v>
          </cell>
        </row>
        <row r="59">
          <cell r="B59" t="str">
            <v>-транспортировка грузов</v>
          </cell>
        </row>
        <row r="60">
          <cell r="B60" t="str">
            <v>-транспортировка вахт</v>
          </cell>
        </row>
        <row r="61">
          <cell r="A61" t="str">
            <v>3.</v>
          </cell>
          <cell r="B61" t="str">
            <v>Подготовительные работы к бурению</v>
          </cell>
        </row>
        <row r="62">
          <cell r="A62" t="str">
            <v>4.</v>
          </cell>
          <cell r="B62" t="str">
            <v>Бурение</v>
          </cell>
        </row>
        <row r="63">
          <cell r="B63" t="str">
            <v>-под направление</v>
          </cell>
        </row>
        <row r="64">
          <cell r="B64" t="str">
            <v>-под кондуктор</v>
          </cell>
        </row>
        <row r="65">
          <cell r="B65" t="str">
            <v>-под техколонну</v>
          </cell>
        </row>
        <row r="66">
          <cell r="B66" t="str">
            <v>-под экспл.колонну в интерв.0251-2347</v>
          </cell>
        </row>
        <row r="67">
          <cell r="A67" t="str">
            <v>5.</v>
          </cell>
          <cell r="B67" t="str">
            <v>Крепление</v>
          </cell>
        </row>
        <row r="68">
          <cell r="B68" t="str">
            <v>направлением</v>
          </cell>
        </row>
        <row r="69">
          <cell r="B69" t="str">
            <v>-неизменные затраты</v>
          </cell>
        </row>
        <row r="70">
          <cell r="B70" t="str">
            <v>-переменные затраты</v>
          </cell>
        </row>
        <row r="71">
          <cell r="B71" t="str">
            <v>кондуктором</v>
          </cell>
        </row>
        <row r="72">
          <cell r="B72" t="str">
            <v>-неизменные затраты</v>
          </cell>
        </row>
        <row r="73">
          <cell r="B73" t="str">
            <v>-переменные затраты</v>
          </cell>
        </row>
        <row r="74">
          <cell r="B74" t="str">
            <v>техколонной</v>
          </cell>
        </row>
        <row r="75">
          <cell r="B75" t="str">
            <v>-неизменные затраты</v>
          </cell>
        </row>
        <row r="76">
          <cell r="B76" t="str">
            <v>-переменные затраты</v>
          </cell>
        </row>
        <row r="77">
          <cell r="B77" t="str">
            <v>экспл.колонной</v>
          </cell>
        </row>
        <row r="78">
          <cell r="B78" t="str">
            <v>-неизменные затраты</v>
          </cell>
        </row>
        <row r="79">
          <cell r="B79" t="str">
            <v>-переменные затраты</v>
          </cell>
        </row>
        <row r="80">
          <cell r="B80" t="str">
            <v>заливка шурфа</v>
          </cell>
        </row>
        <row r="81">
          <cell r="B81" t="str">
            <v>-транспортировка грузов по разд. 3,4,5</v>
          </cell>
        </row>
        <row r="82">
          <cell r="B82" t="str">
            <v>-транспортировка вахт по разд. 3,4,5</v>
          </cell>
        </row>
        <row r="83">
          <cell r="A83" t="str">
            <v>6.</v>
          </cell>
          <cell r="B83" t="str">
            <v>Испытание с передвижного станка</v>
          </cell>
        </row>
        <row r="84">
          <cell r="A84" t="str">
            <v>7.</v>
          </cell>
          <cell r="B84" t="str">
            <v>Кислотная обработка</v>
          </cell>
        </row>
        <row r="85">
          <cell r="A85" t="str">
            <v>8.</v>
          </cell>
          <cell r="B85" t="str">
            <v>Работа пластоиспытателем</v>
          </cell>
        </row>
        <row r="86">
          <cell r="B86" t="str">
            <v>-транспортировка грузов по разд. 6,7,8</v>
          </cell>
        </row>
        <row r="87">
          <cell r="B87" t="str">
            <v>-транспортировка вахт по разд. 6,7,8</v>
          </cell>
        </row>
        <row r="88">
          <cell r="A88" t="str">
            <v>9.</v>
          </cell>
          <cell r="B88" t="str">
            <v>Монтаж-демонтаж передвижного станка</v>
          </cell>
        </row>
        <row r="89">
          <cell r="B89" t="str">
            <v>-транспортировка грузов</v>
          </cell>
        </row>
        <row r="90">
          <cell r="B90" t="str">
            <v>-транспортировка вахт</v>
          </cell>
        </row>
        <row r="91">
          <cell r="A91" t="str">
            <v>10.</v>
          </cell>
          <cell r="B91" t="str">
            <v>Зимнее удорожание по 1.,2. И 9. разд.</v>
          </cell>
        </row>
        <row r="92">
          <cell r="A92" t="str">
            <v>11.</v>
          </cell>
          <cell r="B92" t="str">
            <v>Эксплуатация котельной</v>
          </cell>
        </row>
        <row r="93">
          <cell r="A93" t="str">
            <v>12.</v>
          </cell>
          <cell r="B93" t="str">
            <v>Итого прямых затрат</v>
          </cell>
        </row>
        <row r="94">
          <cell r="A94" t="str">
            <v>13.</v>
          </cell>
          <cell r="B94" t="str">
            <v>Накладные расходы от суммы прямых затрат</v>
          </cell>
        </row>
        <row r="95">
          <cell r="A95" t="str">
            <v>14.</v>
          </cell>
          <cell r="B95" t="str">
            <v>Плановые накопления от суммы 12. И 13.</v>
          </cell>
        </row>
        <row r="96">
          <cell r="A96" t="str">
            <v>15</v>
          </cell>
          <cell r="B96" t="str">
            <v>Лабораторные анализы</v>
          </cell>
        </row>
        <row r="97">
          <cell r="A97" t="str">
            <v>16.</v>
          </cell>
          <cell r="B97" t="str">
            <v>Транспортировка грузов (общ.)</v>
          </cell>
        </row>
        <row r="98">
          <cell r="A98" t="str">
            <v>17.</v>
          </cell>
          <cell r="B98" t="str">
            <v>Транспортировка вахт (общ.)</v>
          </cell>
        </row>
        <row r="99">
          <cell r="A99" t="str">
            <v>18.</v>
          </cell>
          <cell r="B99" t="str">
            <v>Топографо-геодезические работы</v>
          </cell>
        </row>
        <row r="100">
          <cell r="A100" t="str">
            <v>19.</v>
          </cell>
          <cell r="B100" t="str">
            <v>Скважина на воду</v>
          </cell>
        </row>
        <row r="101">
          <cell r="A101" t="str">
            <v>20.</v>
          </cell>
          <cell r="B101" t="str">
            <v>Итого по 1-19 разделам</v>
          </cell>
        </row>
        <row r="102">
          <cell r="A102" t="str">
            <v>21.</v>
          </cell>
          <cell r="B102" t="str">
            <v>Непредвиденные затраты</v>
          </cell>
        </row>
        <row r="103">
          <cell r="A103" t="str">
            <v>22.</v>
          </cell>
          <cell r="B103" t="str">
            <v>ПГР</v>
          </cell>
        </row>
        <row r="104">
          <cell r="A104" t="str">
            <v>23.</v>
          </cell>
          <cell r="B104" t="str">
            <v>Налоги</v>
          </cell>
        </row>
        <row r="105">
          <cell r="A105" t="str">
            <v>24.</v>
          </cell>
          <cell r="B105" t="str">
            <v>Всего</v>
          </cell>
        </row>
        <row r="106">
          <cell r="A106" t="str">
            <v>25.</v>
          </cell>
          <cell r="B106" t="str">
            <v>в т.ч. возврат</v>
          </cell>
        </row>
        <row r="107">
          <cell r="A107" t="str">
            <v>26.</v>
          </cell>
          <cell r="B107" t="str">
            <v>Сметная стоимость за вычетом возврата</v>
          </cell>
        </row>
        <row r="108">
          <cell r="A108" t="str">
            <v>27.</v>
          </cell>
          <cell r="B108" t="str">
            <v>Налог за пользование недрами</v>
          </cell>
        </row>
        <row r="109">
          <cell r="A109" t="str">
            <v>28.</v>
          </cell>
          <cell r="B109" t="str">
            <v>Отвод земель</v>
          </cell>
        </row>
        <row r="110">
          <cell r="A110" t="str">
            <v>29.</v>
          </cell>
          <cell r="B110" t="str">
            <v>Всего к оплате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БШ"/>
      <sheetName val="Комм пред "/>
      <sheetName val="№ 8.1 ННС "/>
      <sheetName val="ГГД"/>
      <sheetName val="Расчет ННБ"/>
      <sheetName val="ГГД "/>
      <sheetName val="Потребность хим.реагентов"/>
      <sheetName val="расчет вывоз БР "/>
      <sheetName val="расчет рекультивация"/>
      <sheetName val="№1,6 Мобил., демоб  БУ"/>
      <sheetName val="№2.1Монтаж БУ"/>
      <sheetName val="№5.1Демонтаж БУ"/>
      <sheetName val="№2.2 Арт.скв."/>
      <sheetName val="№2.3 ПНР"/>
      <sheetName val="№2.4 Передвижка "/>
      <sheetName val="№2.4.1 Тех.стаскивание"/>
      <sheetName val="График ВМР"/>
      <sheetName val="График работ"/>
      <sheetName val="ГГД (расчет моста)"/>
      <sheetName val="ГГД (заключительные работы)"/>
      <sheetName val="ГГД (опрессовка снижением)"/>
      <sheetName val="ГГД (расчет 2 ступени)"/>
      <sheetName val="ГГД (пилот)"/>
      <sheetName val="№13 Суточная ставка"/>
      <sheetName val="№8.1.1 ЗП"/>
      <sheetName val="№8.1.2 Амортизация БО"/>
      <sheetName val=" № 8.1.3 Амортизация БХ"/>
      <sheetName val="№ 8.1.4 энергозатраты"/>
      <sheetName val="№8.1.6 Бульдозер"/>
      <sheetName val="№ 8.1.7 Проч. материалы"/>
      <sheetName val="№ 8.1.8 Износ буриль.труб"/>
      <sheetName val="№ 8.1.9 Содержание БО"/>
      <sheetName val="№ 8.1.10 Пароводоснабжение"/>
      <sheetName val="№8.1.12 ГСМ"/>
      <sheetName val="№8.1.24 Транспо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 пред "/>
      <sheetName val="№9 площ."/>
      <sheetName val="№1,6 Мобил., демоб  БУ"/>
      <sheetName val="№2.1Монтаж БУ"/>
      <sheetName val="передвижка"/>
      <sheetName val="№5.1Демонтаж БУ"/>
      <sheetName val="№2.2 Арт.скв."/>
      <sheetName val="№2.3 ПНР"/>
      <sheetName val="№2.4.1 Тех.стаскивание"/>
      <sheetName val="№ 8.1ЗБС 62"/>
      <sheetName val="График ВМР (пример)"/>
      <sheetName val="Расчет ННБ"/>
      <sheetName val="ГГД пилот"/>
      <sheetName val="ГГД (расчет моста)"/>
      <sheetName val="График ВМР (Самсонов)"/>
      <sheetName val="График работ"/>
      <sheetName val="№13 Суточная ставка"/>
      <sheetName val="№8.1.1 ЗП"/>
      <sheetName val="№8.1.2 Амортизация БО"/>
      <sheetName val=" № 8.1.3 Амортизация БХ"/>
      <sheetName val="№ 8.1.4 энергозатраты"/>
      <sheetName val="№8.1.6 Спецтехника"/>
      <sheetName val="№8.1.7 Проч. материалы"/>
      <sheetName val="№ 8.1.8 Износ буриль.труб"/>
      <sheetName val="№8.1.9 Содержание БО"/>
      <sheetName val="№ 8.1.10 Пароводоснабжение"/>
      <sheetName val="№8.1.12 ГСМ"/>
      <sheetName val="№8.1.24 Транспорт"/>
      <sheetName val="рекультивация"/>
      <sheetName val="Доставка керна"/>
      <sheetName val="вывоз шлама"/>
      <sheetName val="расчет шлама"/>
    </sheetNames>
    <sheetDataSet>
      <sheetData sheetId="0" refreshError="1"/>
      <sheetData sheetId="1" refreshError="1">
        <row r="24">
          <cell r="B24" t="str">
            <v>Директор ООО "УК "Ресурс" Управляющей компании ООО "Отрадное"</v>
          </cell>
          <cell r="E24" t="str">
            <v>В.В.Асташкин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0">
          <cell r="F20">
            <v>36.920999999999999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Комм пред"/>
      <sheetName val="№1,6 Мобил., демоб  БУ"/>
      <sheetName val="№2.1Монтаж БУ"/>
      <sheetName val="№2.2 Арт.скв."/>
      <sheetName val="№5.1Демонтаж БУ"/>
      <sheetName val="ПНР"/>
      <sheetName val="передвижка"/>
      <sheetName val="№ 8.1 ННскважина"/>
      <sheetName val="№13 Суточная ставка"/>
      <sheetName val="№8.1.1 ЗП"/>
      <sheetName val="№8.1.2 Амортизация БО"/>
      <sheetName val=" № 8.1.3 Амортизация БХ"/>
      <sheetName val="№ 8.1.4 энергозатраты"/>
      <sheetName val="№8.1.6 Бульдозер"/>
      <sheetName val="№ 8.1.7 Проч. материалы"/>
      <sheetName val="№ 8.1.8 Износ буриль.труб"/>
      <sheetName val="№ 8.1.9 Содержание БО"/>
      <sheetName val="№ 8.1.10 Пароводоснабжение"/>
      <sheetName val="№8.1.12 ГСМ"/>
      <sheetName val="№8.1.24 Транспорт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A5" t="str">
            <v>Расстояние до объекта</v>
          </cell>
          <cell r="D5">
            <v>520</v>
          </cell>
          <cell r="E5" t="str">
            <v>км</v>
          </cell>
        </row>
        <row r="6">
          <cell r="A6" t="str">
            <v>Глубина скважины</v>
          </cell>
          <cell r="D6">
            <v>4500</v>
          </cell>
          <cell r="E6" t="str">
            <v xml:space="preserve">м.   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Лист1"/>
      <sheetName val="Данные"/>
      <sheetName val="База"/>
      <sheetName val="Баланс"/>
      <sheetName val="Анализ"/>
      <sheetName val="РТК"/>
      <sheetName val="Мера КД"/>
      <sheetName val="Мера ЭК"/>
      <sheetName val="Мера ХВ"/>
      <sheetName val="Трубы"/>
      <sheetName val="Цементирование"/>
      <sheetName val="Расход МТР"/>
      <sheetName val="ДТ"/>
      <sheetName val="Инклин Проект"/>
      <sheetName val="Инклин Факт"/>
      <sheetName val="Горизонтальная"/>
      <sheetName val="Вертикальная"/>
      <sheetName val="Локальная"/>
      <sheetName val="Суточный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</sheetNames>
    <sheetDataSet>
      <sheetData sheetId="0" refreshError="1"/>
      <sheetData sheetId="1" refreshError="1"/>
      <sheetData sheetId="2"/>
      <sheetData sheetId="3">
        <row r="10">
          <cell r="B10" t="str">
            <v>КСИ-393,7</v>
          </cell>
          <cell r="D10" t="str">
            <v>Бурголовка</v>
          </cell>
        </row>
        <row r="11">
          <cell r="B11" t="str">
            <v>УБТ-178</v>
          </cell>
          <cell r="D11" t="str">
            <v>Воронка</v>
          </cell>
        </row>
        <row r="12">
          <cell r="B12" t="str">
            <v>КСИ-295,3</v>
          </cell>
          <cell r="D12" t="str">
            <v>Долото</v>
          </cell>
        </row>
        <row r="13">
          <cell r="B13" t="str">
            <v>295,3ETS53АСР</v>
          </cell>
          <cell r="D13" t="str">
            <v>Обсадная труба</v>
          </cell>
        </row>
        <row r="14">
          <cell r="B14" t="str">
            <v>СБТ-127х9</v>
          </cell>
          <cell r="D14" t="str">
            <v>Бурильная труба</v>
          </cell>
        </row>
        <row r="15">
          <cell r="B15" t="str">
            <v>КСИ</v>
          </cell>
          <cell r="D15" t="str">
            <v>Ведущая труба</v>
          </cell>
        </row>
        <row r="16">
          <cell r="B16" t="str">
            <v>215,9ТЗ-ЦГВУR810</v>
          </cell>
          <cell r="D16" t="str">
            <v>ГЗД</v>
          </cell>
        </row>
        <row r="17">
          <cell r="B17" t="str">
            <v>КСИ-215,9</v>
          </cell>
          <cell r="D17" t="str">
            <v>Гибкий центратор</v>
          </cell>
        </row>
        <row r="18">
          <cell r="B18" t="str">
            <v>HWDP (3тр.)</v>
          </cell>
          <cell r="D18" t="str">
            <v>Жесткий центратор</v>
          </cell>
        </row>
        <row r="19">
          <cell r="B19" t="str">
            <v>324х9,5 "Д" ОТТМ</v>
          </cell>
          <cell r="D19" t="str">
            <v>Калибратор</v>
          </cell>
        </row>
        <row r="20">
          <cell r="B20" t="str">
            <v>3ТСШ-195</v>
          </cell>
          <cell r="D20" t="str">
            <v>Комплект зондов</v>
          </cell>
        </row>
        <row r="21">
          <cell r="B21" t="str">
            <v>2ТСШ-195</v>
          </cell>
          <cell r="D21" t="str">
            <v>КОС</v>
          </cell>
        </row>
        <row r="22">
          <cell r="B22" t="str">
            <v>ДР-176(1,15)</v>
          </cell>
          <cell r="D22" t="str">
            <v>ЛУБТ</v>
          </cell>
        </row>
        <row r="23">
          <cell r="B23" t="str">
            <v>БТС</v>
          </cell>
          <cell r="D23" t="str">
            <v>Гибкая немаг. УБТ</v>
          </cell>
        </row>
        <row r="24">
          <cell r="B24" t="str">
            <v>215,9СЗ-ГВR162</v>
          </cell>
          <cell r="D24" t="str">
            <v>НУБТ</v>
          </cell>
        </row>
        <row r="25">
          <cell r="B25" t="str">
            <v>Д5-195</v>
          </cell>
          <cell r="D25" t="str">
            <v>Обратный клапан</v>
          </cell>
        </row>
        <row r="26">
          <cell r="B26" t="str">
            <v>ПГМ-195</v>
          </cell>
          <cell r="D26" t="str">
            <v>Перископ</v>
          </cell>
        </row>
        <row r="27">
          <cell r="B27" t="str">
            <v>Hydra Jar</v>
          </cell>
          <cell r="D27" t="str">
            <v>Переливной клапан</v>
          </cell>
        </row>
        <row r="28">
          <cell r="B28" t="str">
            <v>III-142,9 СЗ-ГАУ(R239)</v>
          </cell>
          <cell r="D28" t="str">
            <v>ПолуУБТ</v>
          </cell>
        </row>
        <row r="29">
          <cell r="B29" t="str">
            <v>III-215,9 MXL-09</v>
          </cell>
          <cell r="D29" t="str">
            <v>Приемная антенна</v>
          </cell>
        </row>
        <row r="30">
          <cell r="B30" t="str">
            <v>III-215,9 МЗ-ГВУ</v>
          </cell>
          <cell r="D30" t="str">
            <v>Импалс</v>
          </cell>
        </row>
        <row r="31">
          <cell r="B31" t="str">
            <v xml:space="preserve">III-215,9 МЗ-ГВУ (R206) </v>
          </cell>
          <cell r="D31" t="str">
            <v>Телесистема</v>
          </cell>
        </row>
        <row r="32">
          <cell r="B32" t="str">
            <v xml:space="preserve">III-215,9 МЦ-ГАУ (R443) </v>
          </cell>
          <cell r="D32" t="str">
            <v>УБТ</v>
          </cell>
        </row>
        <row r="33">
          <cell r="B33" t="str">
            <v>III-215,9 С-ГВ (R192)</v>
          </cell>
          <cell r="D33" t="str">
            <v>POWER DRIVE</v>
          </cell>
        </row>
        <row r="34">
          <cell r="B34" t="str">
            <v>III-215,9 С-ГНУ (R106)</v>
          </cell>
          <cell r="D34" t="str">
            <v>Шпиндель</v>
          </cell>
        </row>
        <row r="35">
          <cell r="B35" t="str">
            <v>III-215,9 СЦ-ГВУ (R501)</v>
          </cell>
          <cell r="D35" t="str">
            <v xml:space="preserve">Ясс </v>
          </cell>
        </row>
        <row r="36">
          <cell r="B36" t="str">
            <v>III-295,3 V-54X (R105)</v>
          </cell>
          <cell r="D36" t="str">
            <v>iii-393,7СЗ-ЦГВ</v>
          </cell>
        </row>
        <row r="37">
          <cell r="B37" t="str">
            <v>III-295,3 МЗ-ГВ</v>
          </cell>
          <cell r="D37" t="str">
            <v>ДР-195(1,15)</v>
          </cell>
        </row>
        <row r="38">
          <cell r="B38" t="str">
            <v>III-295,3 МЗ-ГВУ</v>
          </cell>
          <cell r="D38" t="str">
            <v>БТС</v>
          </cell>
        </row>
        <row r="39">
          <cell r="B39" t="str">
            <v>III-295,3 МСЗ-ГВУ</v>
          </cell>
          <cell r="D39" t="str">
            <v>Пакер</v>
          </cell>
        </row>
        <row r="40">
          <cell r="B40" t="str">
            <v xml:space="preserve">III-295,3 МСЗ-ГНУ (R37A) </v>
          </cell>
          <cell r="D40" t="str">
            <v>ПГМ-195</v>
          </cell>
        </row>
        <row r="41">
          <cell r="B41" t="str">
            <v>III-295,3 С-ГВ-R166</v>
          </cell>
        </row>
        <row r="42">
          <cell r="B42" t="str">
            <v>295,3 С-ЦГВ</v>
          </cell>
        </row>
        <row r="43">
          <cell r="B43" t="str">
            <v>393,7 С-ЦВ</v>
          </cell>
        </row>
        <row r="44">
          <cell r="B44" t="str">
            <v>III-393,7 С-ГВУ</v>
          </cell>
        </row>
        <row r="45">
          <cell r="B45" t="str">
            <v>III-393,7 СЗ-ЦГВ</v>
          </cell>
        </row>
        <row r="46">
          <cell r="B46" t="str">
            <v>Lower Saver Sub</v>
          </cell>
        </row>
        <row r="47">
          <cell r="B47" t="str">
            <v xml:space="preserve">IMPulse </v>
          </cell>
        </row>
        <row r="48">
          <cell r="B48" t="str">
            <v>SPSA-EB-Spiral</v>
          </cell>
        </row>
        <row r="49">
          <cell r="B49" t="str">
            <v>UBHO (НЗ-102хМЗ-102)</v>
          </cell>
        </row>
        <row r="50">
          <cell r="B50" t="str">
            <v>Upper Saver Sub</v>
          </cell>
        </row>
        <row r="51">
          <cell r="B51" t="str">
            <v>БИТ-215,9МС</v>
          </cell>
        </row>
        <row r="52">
          <cell r="B52" t="str">
            <v>Верхний привод</v>
          </cell>
        </row>
        <row r="53">
          <cell r="B53" t="str">
            <v>ДБС-212,7/100</v>
          </cell>
        </row>
        <row r="54">
          <cell r="B54" t="str">
            <v>ДР-195 (1о00')</v>
          </cell>
        </row>
        <row r="55">
          <cell r="B55" t="str">
            <v>ДРЗ-120 6/7 (1о36')</v>
          </cell>
        </row>
        <row r="56">
          <cell r="B56" t="str">
            <v>ДРУ-172 (1о73')</v>
          </cell>
        </row>
        <row r="57">
          <cell r="B57" t="str">
            <v>ДРУ-172 (2о00')</v>
          </cell>
        </row>
        <row r="58">
          <cell r="B58" t="str">
            <v>КЛ-213,5</v>
          </cell>
        </row>
        <row r="59">
          <cell r="B59" t="str">
            <v>ЛБТ-147х11 "Д16Т"</v>
          </cell>
        </row>
        <row r="60">
          <cell r="B60" t="str">
            <v>A</v>
          </cell>
        </row>
        <row r="61">
          <cell r="B61" t="str">
            <v>Немаг.УБТ NMDC</v>
          </cell>
        </row>
        <row r="62">
          <cell r="B62" t="str">
            <v>НУБТ-120х36 "Д16Т"</v>
          </cell>
        </row>
        <row r="63">
          <cell r="B63" t="str">
            <v>НУБТ-175х72 "Д16"</v>
          </cell>
        </row>
        <row r="64">
          <cell r="B64" t="str">
            <v>ОК-147 (НЗ-147хМЗ-147)</v>
          </cell>
        </row>
        <row r="65">
          <cell r="B65" t="str">
            <v>ОК-168(НМ-133-НМ-133)</v>
          </cell>
        </row>
        <row r="66">
          <cell r="B66" t="str">
            <v>Пол.УБТ-139,7HWDP SGC</v>
          </cell>
        </row>
        <row r="67">
          <cell r="B67" t="str">
            <v>ПП (МЗ-102хМЗ-88)</v>
          </cell>
        </row>
        <row r="68">
          <cell r="B68" t="str">
            <v>ПП (МЗ-102хНЗ-88)</v>
          </cell>
        </row>
        <row r="69">
          <cell r="B69" t="str">
            <v>ПП (МЗ-88хНЗ-76)</v>
          </cell>
        </row>
        <row r="70">
          <cell r="B70" t="str">
            <v>SRX</v>
          </cell>
        </row>
        <row r="71">
          <cell r="B71" t="str">
            <v>PD 475 CA 5 5|8</v>
          </cell>
        </row>
        <row r="72">
          <cell r="B72" t="str">
            <v>Periscope 475</v>
          </cell>
        </row>
        <row r="73">
          <cell r="B73" t="str">
            <v>IMPulse</v>
          </cell>
        </row>
        <row r="74">
          <cell r="B74" t="str">
            <v>Flex NMDC1</v>
          </cell>
        </row>
        <row r="75">
          <cell r="B75" t="str">
            <v>Flex NMDC2</v>
          </cell>
        </row>
        <row r="76">
          <cell r="B76" t="str">
            <v>88.9mm HWDP</v>
          </cell>
        </row>
        <row r="77">
          <cell r="B77" t="str">
            <v>Hidro-Mechanical Jar</v>
          </cell>
        </row>
        <row r="78">
          <cell r="B78" t="str">
            <v>СИБ-1.3</v>
          </cell>
        </row>
        <row r="79">
          <cell r="B79" t="str">
            <v>СЛ-138/120</v>
          </cell>
        </row>
        <row r="80">
          <cell r="B80" t="str">
            <v>88.9mm HWDP</v>
          </cell>
        </row>
        <row r="81">
          <cell r="B81" t="str">
            <v>ТБПК-127х9,2 "G"</v>
          </cell>
        </row>
        <row r="82">
          <cell r="B82" t="str">
            <v>ТБПК-127х9,2 "Л"</v>
          </cell>
        </row>
        <row r="83">
          <cell r="B83" t="str">
            <v>ТБПН-89х9 "М"</v>
          </cell>
        </row>
        <row r="84">
          <cell r="B84" t="str">
            <v>СБТ ПН-89х9 "M"</v>
          </cell>
        </row>
        <row r="85">
          <cell r="B85" t="str">
            <v>ТВК-140х140 "Д"</v>
          </cell>
        </row>
        <row r="86">
          <cell r="B86" t="str">
            <v>2ТСШ-240</v>
          </cell>
        </row>
        <row r="87">
          <cell r="B87" t="str">
            <v>ТО2-240 (1о10')</v>
          </cell>
        </row>
        <row r="88">
          <cell r="B88" t="str">
            <v>ТО2-240 (1о30')</v>
          </cell>
        </row>
        <row r="89">
          <cell r="B89" t="str">
            <v>ТО-240</v>
          </cell>
        </row>
        <row r="90">
          <cell r="B90" t="str">
            <v>ТО-240 (1о05')</v>
          </cell>
        </row>
        <row r="91">
          <cell r="B91" t="str">
            <v>У9-215,9/100-4СТ</v>
          </cell>
        </row>
        <row r="92">
          <cell r="B92" t="str">
            <v>ФМ-118</v>
          </cell>
        </row>
        <row r="93">
          <cell r="B93" t="str">
            <v>Шп 2х.р</v>
          </cell>
        </row>
        <row r="94">
          <cell r="B94" t="str">
            <v>Шп.СТК2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>
        <row r="7">
          <cell r="C7">
            <v>25</v>
          </cell>
        </row>
        <row r="8">
          <cell r="C8">
            <v>464</v>
          </cell>
          <cell r="N8">
            <v>74.52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e Volumes"/>
      <sheetName val="Fluid sum"/>
      <sheetName val="Rentals"/>
      <sheetName val="Field Work"/>
      <sheetName val="Pipe tally"/>
      <sheetName val="tankgaug"/>
      <sheetName val="Well proposed"/>
      <sheetName val="Well existing"/>
      <sheetName val="Cost est."/>
      <sheetName val="Cost est_"/>
      <sheetName val="Hole_Volumes"/>
      <sheetName val="Fluid_sum"/>
      <sheetName val="Field_Work"/>
      <sheetName val="Pipe_tally"/>
      <sheetName val="Well_proposed"/>
      <sheetName val="Well_existing"/>
      <sheetName val="Cost_est_"/>
      <sheetName val="Cost_est_1"/>
      <sheetName val="ДОМ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таж"/>
      <sheetName val="перевозка"/>
      <sheetName val="монтаж (2)"/>
      <sheetName val="бурение"/>
      <sheetName val="крепление"/>
      <sheetName val="освоение"/>
      <sheetName val="Лист1"/>
      <sheetName val="Пр-ть освоения"/>
      <sheetName val="ТЭП"/>
      <sheetName val="Расчет"/>
      <sheetName val="№1 ЗП"/>
      <sheetName val="№2 А бур"/>
      <sheetName val="№ 3 ЭЭ"/>
      <sheetName val="№4 ЗЧ"/>
      <sheetName val="№4 матер"/>
      <sheetName val="№5 ТР"/>
      <sheetName val="№ 6 ПГР"/>
      <sheetName val="№7 А труб"/>
      <sheetName val="№8 заб.дв"/>
      <sheetName val="№9 А-50"/>
      <sheetName val="№10 Ч пр"/>
      <sheetName val="№11 Телесис"/>
      <sheetName val="СЦЕНАРН УСЛ"/>
      <sheetName val="бр хоз"/>
      <sheetName val="монтаж_(2)"/>
      <sheetName val="Пр-ть_освоения"/>
      <sheetName val="№1_ЗП"/>
      <sheetName val="№2_А_бур"/>
      <sheetName val="№_3_ЭЭ"/>
      <sheetName val="№4_ЗЧ"/>
      <sheetName val="№4_матер"/>
      <sheetName val="№5_ТР"/>
      <sheetName val="№_6_ПГР"/>
      <sheetName val="№7_А_труб"/>
      <sheetName val="№8_заб_дв"/>
      <sheetName val="№9_А-50"/>
      <sheetName val="№10_Ч_пр"/>
      <sheetName val="№11_Телесис"/>
      <sheetName val="СЦЕНАРН_УСЛ"/>
      <sheetName val="бр_хоз"/>
      <sheetName val="Свод (транспорт)"/>
      <sheetName val="сут ставка"/>
      <sheetName val="Статьи бюджета"/>
      <sheetName val="Вспом-2 кв."/>
      <sheetName val="БЛАНК РАСЧЕТА"/>
      <sheetName val="Прибыль опл"/>
      <sheetName val="Расчеты"/>
      <sheetName val="Скв"/>
      <sheetName val="Возвраты и приобщения"/>
      <sheetName val="ЗП_ЮНГ"/>
      <sheetName val="ТР перев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таж"/>
      <sheetName val="перевозка"/>
      <sheetName val="монтаж (2)"/>
      <sheetName val="бурение"/>
      <sheetName val="крепление"/>
      <sheetName val="освоение"/>
      <sheetName val="Лист1"/>
      <sheetName val="СЦЕНАРН УСЛ"/>
      <sheetName val="Пр-ть освоения"/>
      <sheetName val="ТЭП"/>
      <sheetName val="Расчет"/>
      <sheetName val="№1 ЗП"/>
      <sheetName val="№2 А бур"/>
      <sheetName val="№ 3 ЭЭ"/>
      <sheetName val="№4 ЗЧ"/>
      <sheetName val="№4 матер"/>
      <sheetName val="№5 ТР"/>
      <sheetName val="№ 6 ПГР"/>
      <sheetName val="№7 А труб"/>
      <sheetName val="№8 заб.дв"/>
      <sheetName val="№9 А-50"/>
      <sheetName val="№10 Ч пр"/>
      <sheetName val="№11 Телесис"/>
      <sheetName val="бр хоз"/>
      <sheetName val="монтаж_(2)"/>
      <sheetName val="Пр-ть_освоения"/>
      <sheetName val="№1_ЗП"/>
      <sheetName val="№2_А_бур"/>
      <sheetName val="№_3_ЭЭ"/>
      <sheetName val="№4_ЗЧ"/>
      <sheetName val="№4_матер"/>
      <sheetName val="№5_ТР"/>
      <sheetName val="№_6_ПГР"/>
      <sheetName val="№7_А_труб"/>
      <sheetName val="№8_заб_дв"/>
      <sheetName val="№9_А-50"/>
      <sheetName val="№10_Ч_пр"/>
      <sheetName val="№11_Телесис"/>
      <sheetName val="СЦЕНАРН_УСЛ"/>
      <sheetName val="бр_хоз"/>
      <sheetName val="Свод (транспорт)"/>
      <sheetName val="сут ставка"/>
      <sheetName val="Статьи бюджета"/>
      <sheetName val="Вспом-2 кв."/>
      <sheetName val="БЛАНК РАСЧЕТА"/>
      <sheetName val="Прибыль опл"/>
      <sheetName val="Расчеты"/>
      <sheetName val="ТР перев"/>
      <sheetName val="Скв"/>
      <sheetName val="Возвраты и приобщения"/>
      <sheetName val="ЗП_ЮН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GDU Drilling Time Details"/>
      <sheetName val="NGDU Drl Bits and Mud"/>
      <sheetName val="NGDU Completion Time Details"/>
      <sheetName val="Daily Entries"/>
      <sheetName val="Drilling Plan and Curve"/>
      <sheetName val="Problems and Actions"/>
      <sheetName val="Kill Sheet"/>
      <sheetName val="MUN"/>
      <sheetName val="Geophysical and Perfo"/>
      <sheetName val="ГРП"/>
      <sheetName val="ЭЦН"/>
      <sheetName val="ШГН"/>
      <sheetName val="Rig Audit"/>
      <sheetName val="Basic Analysis"/>
      <sheetName val="Quality Indicators"/>
      <sheetName val="Extraction"/>
      <sheetName val="Глубины ВНК"/>
      <sheetName val="Инструкции и помощь"/>
      <sheetName val="Drilling EOW Report 01 Mar"/>
      <sheetName val="Данные цели"/>
      <sheetName val="Накопит_"/>
      <sheetName val="Остановл_"/>
      <sheetName val="VAR"/>
      <sheetName val="расчёт глушения"/>
      <sheetName val="NGDU_Drilling_Time_Details"/>
      <sheetName val="NGDU_Drl_Bits_and_Mud"/>
      <sheetName val="NGDU_Completion_Time_Details"/>
      <sheetName val="Daily_Entries"/>
      <sheetName val="Drilling_Plan_and_Curve"/>
      <sheetName val="Problems_and_Actions"/>
      <sheetName val="Kill_Sheet"/>
      <sheetName val="Geophysical_and_Perfo"/>
      <sheetName val="Rig_Audit"/>
      <sheetName val="Basic_Analysis"/>
      <sheetName val="Quality_Indicators"/>
      <sheetName val="Глубины_ВНК"/>
      <sheetName val="Инструкции_и_помощь"/>
      <sheetName val="DAY"/>
      <sheetName val="VLOOKUP"/>
      <sheetName val="INPUTMASTER"/>
      <sheetName val="Данные_цели"/>
      <sheetName val="24.04.17"/>
      <sheetName val="БКВ"/>
      <sheetName val="DVD"/>
      <sheetName val="Table"/>
      <sheetName val="welldata frac analysis"/>
      <sheetName val="WELL DE206"/>
      <sheetName val="DDR"/>
      <sheetName val="Инклинометрия"/>
      <sheetName val="2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DC"/>
      <sheetName val="Стоим. долот"/>
      <sheetName val="Cover Sheet (2)"/>
      <sheetName val="Start"/>
      <sheetName val="Время"/>
      <sheetName val="Program"/>
      <sheetName val="Cost"/>
      <sheetName val="Days Depth"/>
      <sheetName val="Graph Data"/>
      <sheetName val="Лист2"/>
    </sheetNames>
    <sheetDataSet>
      <sheetData sheetId="0" refreshError="1"/>
      <sheetData sheetId="1" refreshError="1"/>
      <sheetData sheetId="2" refreshError="1"/>
      <sheetData sheetId="3">
        <row r="10">
          <cell r="H10" t="str">
            <v>б/у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Лист1"/>
      <sheetName val="Данные"/>
      <sheetName val="Анализ"/>
      <sheetName val="Баланс"/>
      <sheetName val="Отработка"/>
      <sheetName val="Хвостовик"/>
      <sheetName val="Шаблон БННС"/>
      <sheetName val="Шаблон УЛМ"/>
      <sheetName val="Проект"/>
      <sheetName val="Инклинометрия"/>
      <sheetName val="Горизонтальная"/>
      <sheetName val="Вертикальная"/>
      <sheetName val="РТК"/>
      <sheetName val="Суточный"/>
      <sheetName val="08.05.08"/>
      <sheetName val="09.05.08"/>
      <sheetName val="10.05.08"/>
      <sheetName val="11.05.08"/>
      <sheetName val="12.05.08"/>
      <sheetName val="13.05.08"/>
      <sheetName val="14.05.08"/>
      <sheetName val="15.05.08"/>
      <sheetName val="16.05.08"/>
      <sheetName val="17.05.08"/>
      <sheetName val="18.05.08"/>
      <sheetName val="19.05.08"/>
      <sheetName val="20.05.08"/>
      <sheetName val="21.05.08"/>
      <sheetName val="22.05.08"/>
      <sheetName val="23.05.08"/>
      <sheetName val="24.05.08"/>
      <sheetName val="25.05.08"/>
      <sheetName val="26.05.08"/>
      <sheetName val="27.05.08"/>
      <sheetName val="28.05.08"/>
      <sheetName val="29.05.08"/>
      <sheetName val="30.05.08"/>
      <sheetName val="31.05.08"/>
      <sheetName val="01.06.08"/>
      <sheetName val="02.06.08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мсн"/>
      <sheetName val="№5 ТР"/>
      <sheetName val="бурение"/>
    </sheetNames>
    <sheetDataSet>
      <sheetData sheetId="0"/>
      <sheetData sheetId="1"/>
      <sheetData sheetId="2">
        <row r="90">
          <cell r="D90" t="str">
            <v xml:space="preserve"> acme-Н3-23/8IF*МЗ-73</v>
          </cell>
          <cell r="F90" t="str">
            <v>Бурильная труба</v>
          </cell>
        </row>
        <row r="91">
          <cell r="D91" t="str">
            <v xml:space="preserve"> XR 30 </v>
          </cell>
          <cell r="F91" t="str">
            <v>Гибкая труба с фильтром</v>
          </cell>
        </row>
        <row r="92">
          <cell r="D92" t="str">
            <v xml:space="preserve"> XR+RE </v>
          </cell>
          <cell r="F92" t="str">
            <v>Ведущая труба</v>
          </cell>
        </row>
        <row r="93">
          <cell r="D93" t="str">
            <v xml:space="preserve"> НЗ-86*МЗ-2 3/8IF</v>
          </cell>
          <cell r="F93" t="str">
            <v>ГВЗД</v>
          </cell>
        </row>
        <row r="94">
          <cell r="D94" t="str">
            <v>2-х муфт. aсме-23/8</v>
          </cell>
          <cell r="F94" t="str">
            <v>Долото</v>
          </cell>
        </row>
        <row r="95">
          <cell r="D95" t="str">
            <v>2-х муфт.aсме-2 15/16</v>
          </cell>
          <cell r="F95" t="str">
            <v>Калибратор</v>
          </cell>
        </row>
        <row r="96">
          <cell r="D96" t="str">
            <v>acme-M2х</v>
          </cell>
          <cell r="F96" t="str">
            <v>Клапан перепускной</v>
          </cell>
        </row>
        <row r="97">
          <cell r="D97" t="str">
            <v>QDS 114х146</v>
          </cell>
          <cell r="F97" t="str">
            <v>Клин-отклонитель</v>
          </cell>
        </row>
        <row r="98">
          <cell r="D98" t="str">
            <v>SL 51HFP</v>
          </cell>
          <cell r="F98" t="str">
            <v>НУБТ</v>
          </cell>
        </row>
        <row r="99">
          <cell r="D99" t="str">
            <v>Super Slim DEP</v>
          </cell>
          <cell r="F99" t="str">
            <v>Обратный клапан</v>
          </cell>
        </row>
        <row r="100">
          <cell r="D100" t="str">
            <v>БИТ2-123 МС</v>
          </cell>
          <cell r="F100" t="str">
            <v>Переводник</v>
          </cell>
        </row>
        <row r="101">
          <cell r="D101" t="str">
            <v>ГТФ-89</v>
          </cell>
          <cell r="F101" t="str">
            <v>Переводник перепускн. ориентир.</v>
          </cell>
        </row>
        <row r="102">
          <cell r="D102" t="str">
            <v>Д-76</v>
          </cell>
          <cell r="F102" t="str">
            <v>Перо</v>
          </cell>
        </row>
        <row r="103">
          <cell r="D103" t="str">
            <v>ДЗ-106 (1°28' )</v>
          </cell>
          <cell r="F103" t="str">
            <v>Прижимной переводник</v>
          </cell>
        </row>
        <row r="104">
          <cell r="D104" t="str">
            <v>ДР-106 (0°00' )</v>
          </cell>
          <cell r="F104" t="str">
            <v>Сбивной клапан</v>
          </cell>
        </row>
        <row r="105">
          <cell r="D105" t="str">
            <v>ДР-106 (1°15' )</v>
          </cell>
          <cell r="F105" t="str">
            <v>Скрепер</v>
          </cell>
        </row>
        <row r="106">
          <cell r="D106" t="str">
            <v>ДР-106 (1°28' )</v>
          </cell>
          <cell r="F106" t="str">
            <v>Стартовый фрез</v>
          </cell>
        </row>
        <row r="107">
          <cell r="D107" t="str">
            <v>ДР-106 (1°46' )</v>
          </cell>
          <cell r="F107" t="str">
            <v>Утяжеленные трубы</v>
          </cell>
        </row>
        <row r="108">
          <cell r="D108" t="str">
            <v>ДРУЗ-106 (1°15' )</v>
          </cell>
          <cell r="F108" t="str">
            <v>Фрезер</v>
          </cell>
        </row>
        <row r="109">
          <cell r="D109" t="str">
            <v>З-86</v>
          </cell>
          <cell r="F109" t="str">
            <v>Фрезер арбузный</v>
          </cell>
        </row>
        <row r="110">
          <cell r="D110" t="str">
            <v>З-88</v>
          </cell>
          <cell r="F110" t="str">
            <v>Фрезер оконный</v>
          </cell>
        </row>
        <row r="111">
          <cell r="D111" t="str">
            <v>КБМ-108 З-86</v>
          </cell>
          <cell r="F111" t="str">
            <v>Фрейзер стартовый</v>
          </cell>
        </row>
        <row r="112">
          <cell r="D112" t="str">
            <v>КЛ-124</v>
          </cell>
          <cell r="F112" t="str">
            <v>Циркуляционный переводник</v>
          </cell>
        </row>
        <row r="113">
          <cell r="D113" t="str">
            <v>КОГ-146</v>
          </cell>
          <cell r="F113" t="str">
            <v>Якорь</v>
          </cell>
        </row>
        <row r="114">
          <cell r="D114" t="str">
            <v>КОП-115С</v>
          </cell>
        </row>
        <row r="115">
          <cell r="D115" t="str">
            <v xml:space="preserve">МЗ-66*МЗ-76 </v>
          </cell>
        </row>
        <row r="116">
          <cell r="D116" t="str">
            <v xml:space="preserve">МЗ-86*НЗ-88 </v>
          </cell>
        </row>
        <row r="117">
          <cell r="D117" t="str">
            <v xml:space="preserve">НЗ-23/8 IF*МЗ-86 </v>
          </cell>
        </row>
        <row r="118">
          <cell r="D118" t="str">
            <v>НЗ-66*НЗ-66</v>
          </cell>
        </row>
        <row r="119">
          <cell r="D119" t="str">
            <v>НЗ-66*Н-НКТ-60</v>
          </cell>
        </row>
        <row r="120">
          <cell r="D120" t="str">
            <v>НЗ-73*МЗ-86</v>
          </cell>
        </row>
        <row r="121">
          <cell r="D121" t="str">
            <v>НЗ-76*МЗ-2 3/8IF</v>
          </cell>
        </row>
        <row r="122">
          <cell r="D122" t="str">
            <v xml:space="preserve">НЗ-76*МЗ-86 </v>
          </cell>
        </row>
        <row r="123">
          <cell r="D123" t="str">
            <v>НЗ-86*МЗ-2 3/8IF</v>
          </cell>
        </row>
        <row r="124">
          <cell r="D124" t="str">
            <v>НЗ-86*МЗ-76</v>
          </cell>
        </row>
        <row r="125">
          <cell r="D125" t="str">
            <v>НЗ-86*МЗ-86</v>
          </cell>
        </row>
        <row r="126">
          <cell r="D126" t="str">
            <v xml:space="preserve">НЗ-88*МЗ-86 </v>
          </cell>
        </row>
        <row r="127">
          <cell r="D127" t="str">
            <v>Н-НКТ-60*МЗ-86</v>
          </cell>
        </row>
        <row r="128">
          <cell r="D128" t="str">
            <v>ПК-73</v>
          </cell>
        </row>
        <row r="129">
          <cell r="D129" t="str">
            <v>ПОП-86</v>
          </cell>
        </row>
        <row r="130">
          <cell r="D130" t="str">
            <v>С-140 З-76</v>
          </cell>
        </row>
        <row r="131">
          <cell r="D131" t="str">
            <v>СБТ-73*9,19 "Л" (З-73)</v>
          </cell>
        </row>
        <row r="132">
          <cell r="D132" t="str">
            <v>СБТ-89*8,0 "Л" (З-86)</v>
          </cell>
        </row>
        <row r="133">
          <cell r="D133" t="str">
            <v>ТВКП-85 З-88</v>
          </cell>
        </row>
        <row r="134">
          <cell r="D134" t="str">
            <v>У-83РИС</v>
          </cell>
        </row>
        <row r="135">
          <cell r="D135" t="str">
            <v>УБТ-108</v>
          </cell>
        </row>
        <row r="136">
          <cell r="D136" t="str">
            <v>УСОУ-124</v>
          </cell>
        </row>
        <row r="137">
          <cell r="D137" t="str">
            <v>ФА-124</v>
          </cell>
        </row>
        <row r="138">
          <cell r="D138" t="str">
            <v>ФД-124</v>
          </cell>
        </row>
        <row r="139">
          <cell r="D139" t="str">
            <v>ФДГ-124</v>
          </cell>
        </row>
        <row r="140">
          <cell r="D140" t="str">
            <v>ФО-124</v>
          </cell>
        </row>
        <row r="141">
          <cell r="D141" t="str">
            <v>ФР-124</v>
          </cell>
        </row>
        <row r="142">
          <cell r="D142" t="str">
            <v>ФС-124 З-76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перевозка"/>
      <sheetName val="демонтаж"/>
      <sheetName val="монтаж"/>
      <sheetName val="бурение"/>
      <sheetName val="крепление"/>
      <sheetName val="освоение"/>
      <sheetName val="Пром1"/>
      <sheetName val="ст ГТМ"/>
      <sheetName val="sapactivexlhiddensheet"/>
      <sheetName val="s"/>
      <sheetName val="1.401.2"/>
      <sheetName val=""/>
      <sheetName val="ЗП"/>
      <sheetName val="2003 (215862 тн)"/>
      <sheetName val="свод (под ключ) "/>
      <sheetName val="13 NGDO"/>
      <sheetName val="Лист2"/>
      <sheetName val="Статьи бюджета"/>
      <sheetName val="Вариант1_безНовыхРабот"/>
      <sheetName val="Скв"/>
      <sheetName val="Возвраты и приобщения"/>
      <sheetName val="ЗП_ЮНГ"/>
      <sheetName val="Насосы"/>
      <sheetName val="Destination"/>
      <sheetName val="Курс $"/>
      <sheetName val="1.411.1"/>
    </sheetNames>
    <sheetDataSet>
      <sheetData sheetId="0">
        <row r="4">
          <cell r="F4">
            <v>34.481999999999999</v>
          </cell>
        </row>
      </sheetData>
      <sheetData sheetId="1"/>
      <sheetData sheetId="2"/>
      <sheetData sheetId="3" refreshError="1">
        <row r="4">
          <cell r="F4">
            <v>34.481999999999999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zoomScaleNormal="100" workbookViewId="0">
      <selection activeCell="G48" sqref="G48"/>
    </sheetView>
  </sheetViews>
  <sheetFormatPr defaultColWidth="9.140625" defaultRowHeight="15"/>
  <cols>
    <col min="1" max="1" width="6.7109375" style="28" customWidth="1"/>
    <col min="2" max="2" width="11.5703125" style="28" customWidth="1"/>
    <col min="3" max="3" width="40" style="28" customWidth="1"/>
    <col min="4" max="4" width="9.140625" style="28"/>
    <col min="5" max="5" width="14" style="28" customWidth="1"/>
    <col min="6" max="6" width="11.5703125" style="28" customWidth="1"/>
    <col min="7" max="7" width="17.140625" style="28" customWidth="1"/>
    <col min="8" max="8" width="17.42578125" style="622" customWidth="1"/>
    <col min="9" max="9" width="15.140625" style="409" customWidth="1"/>
    <col min="10" max="10" width="15" style="28" customWidth="1"/>
    <col min="11" max="11" width="15.42578125" style="641" customWidth="1"/>
    <col min="12" max="12" width="67.42578125" style="28" bestFit="1" customWidth="1"/>
    <col min="13" max="13" width="15.5703125" style="28" customWidth="1"/>
    <col min="14" max="14" width="16.85546875" style="28" bestFit="1" customWidth="1"/>
    <col min="15" max="16384" width="9.140625" style="28"/>
  </cols>
  <sheetData>
    <row r="1" spans="1:11">
      <c r="D1" s="2192" t="s">
        <v>408</v>
      </c>
      <c r="E1" s="2192"/>
      <c r="F1" s="2192"/>
      <c r="G1" s="2192"/>
      <c r="H1" s="2192"/>
      <c r="I1" s="2192"/>
    </row>
    <row r="2" spans="1:11">
      <c r="H2" s="619"/>
      <c r="I2" s="619"/>
    </row>
    <row r="3" spans="1:11" ht="18.75">
      <c r="A3" s="2193" t="s">
        <v>395</v>
      </c>
      <c r="B3" s="2193"/>
      <c r="C3" s="2193"/>
      <c r="D3" s="2193"/>
      <c r="E3" s="2193"/>
      <c r="F3" s="2193"/>
      <c r="G3" s="2193"/>
      <c r="H3" s="2193"/>
      <c r="I3" s="2193"/>
    </row>
    <row r="4" spans="1:11" ht="48" customHeight="1">
      <c r="A4" s="2194" t="s">
        <v>1260</v>
      </c>
      <c r="B4" s="2194"/>
      <c r="C4" s="2194"/>
      <c r="D4" s="2194"/>
      <c r="E4" s="2194"/>
      <c r="F4" s="2194"/>
      <c r="G4" s="2194"/>
      <c r="H4" s="2194"/>
      <c r="I4" s="2194"/>
    </row>
    <row r="5" spans="1:11" ht="17.25" hidden="1" thickTop="1" thickBot="1">
      <c r="A5" s="2195" t="s">
        <v>593</v>
      </c>
      <c r="B5" s="2195"/>
      <c r="C5" s="499"/>
      <c r="D5" s="478"/>
      <c r="E5" s="478"/>
      <c r="F5" s="478"/>
      <c r="G5" s="478"/>
      <c r="H5" s="478"/>
      <c r="I5" s="478"/>
    </row>
    <row r="6" spans="1:11" ht="17.25" hidden="1" thickTop="1" thickBot="1">
      <c r="A6" s="757"/>
      <c r="B6" s="757"/>
      <c r="C6" s="478"/>
      <c r="D6" s="478"/>
      <c r="E6" s="478"/>
      <c r="F6" s="478"/>
      <c r="G6" s="478"/>
      <c r="H6" s="478"/>
      <c r="I6" s="478"/>
    </row>
    <row r="7" spans="1:11" ht="17.25" hidden="1" thickTop="1" thickBot="1">
      <c r="A7" s="2195" t="s">
        <v>453</v>
      </c>
      <c r="B7" s="2195"/>
      <c r="C7" s="499"/>
      <c r="D7" s="478"/>
      <c r="E7" s="478"/>
      <c r="F7" s="478"/>
      <c r="G7" s="478"/>
      <c r="H7" s="478"/>
      <c r="I7" s="478"/>
    </row>
    <row r="8" spans="1:11" ht="16.5" thickBot="1">
      <c r="A8" s="478"/>
      <c r="B8" s="478"/>
      <c r="C8" s="478"/>
      <c r="D8" s="478"/>
      <c r="E8" s="478"/>
      <c r="F8" s="478"/>
      <c r="G8" s="478"/>
      <c r="H8" s="478"/>
      <c r="I8" s="478"/>
    </row>
    <row r="9" spans="1:11">
      <c r="A9" s="2182" t="s">
        <v>0</v>
      </c>
      <c r="B9" s="2184" t="s">
        <v>331</v>
      </c>
      <c r="C9" s="2185"/>
      <c r="D9" s="2198" t="s">
        <v>332</v>
      </c>
      <c r="E9" s="2190" t="s">
        <v>333</v>
      </c>
      <c r="F9" s="2190" t="s">
        <v>334</v>
      </c>
      <c r="G9" s="2188" t="s">
        <v>335</v>
      </c>
      <c r="H9" s="2189"/>
      <c r="I9" s="2196" t="s">
        <v>90</v>
      </c>
    </row>
    <row r="10" spans="1:11" ht="25.5" customHeight="1" thickBot="1">
      <c r="A10" s="2183"/>
      <c r="B10" s="2186"/>
      <c r="C10" s="2187"/>
      <c r="D10" s="2199"/>
      <c r="E10" s="2191"/>
      <c r="F10" s="2191"/>
      <c r="G10" s="826" t="s">
        <v>336</v>
      </c>
      <c r="H10" s="827" t="s">
        <v>337</v>
      </c>
      <c r="I10" s="2197"/>
    </row>
    <row r="11" spans="1:11" s="412" customFormat="1" ht="15" customHeight="1" thickBot="1">
      <c r="A11" s="1231">
        <v>1</v>
      </c>
      <c r="B11" s="2200">
        <v>2</v>
      </c>
      <c r="C11" s="2201"/>
      <c r="D11" s="1232">
        <v>3</v>
      </c>
      <c r="E11" s="1232">
        <v>4</v>
      </c>
      <c r="F11" s="1232">
        <v>5</v>
      </c>
      <c r="G11" s="1232">
        <v>6</v>
      </c>
      <c r="H11" s="1232">
        <v>7</v>
      </c>
      <c r="I11" s="1233">
        <v>8</v>
      </c>
      <c r="K11" s="642"/>
    </row>
    <row r="12" spans="1:11" s="412" customFormat="1" ht="31.5" customHeight="1">
      <c r="A12" s="625" t="s">
        <v>421</v>
      </c>
      <c r="B12" s="2202" t="s">
        <v>760</v>
      </c>
      <c r="C12" s="2203"/>
      <c r="D12" s="1228" t="s">
        <v>3</v>
      </c>
      <c r="E12" s="1229"/>
      <c r="F12" s="1229">
        <v>3</v>
      </c>
      <c r="G12" s="1229"/>
      <c r="H12" s="1229"/>
      <c r="I12" s="1230" t="s">
        <v>725</v>
      </c>
      <c r="K12" s="642"/>
    </row>
    <row r="13" spans="1:11" s="622" customFormat="1" ht="18" customHeight="1">
      <c r="A13" s="410">
        <v>2</v>
      </c>
      <c r="B13" s="2167" t="s">
        <v>759</v>
      </c>
      <c r="C13" s="2168"/>
      <c r="D13" s="823" t="s">
        <v>3</v>
      </c>
      <c r="E13" s="458"/>
      <c r="F13" s="458">
        <v>1</v>
      </c>
      <c r="G13" s="458"/>
      <c r="H13" s="458"/>
      <c r="I13" s="1217" t="s">
        <v>338</v>
      </c>
      <c r="K13" s="824"/>
    </row>
    <row r="14" spans="1:11" s="622" customFormat="1" ht="30.75" customHeight="1">
      <c r="A14" s="410">
        <v>3</v>
      </c>
      <c r="B14" s="2167" t="s">
        <v>588</v>
      </c>
      <c r="C14" s="2168"/>
      <c r="D14" s="823"/>
      <c r="E14" s="458"/>
      <c r="F14" s="458"/>
      <c r="G14" s="458"/>
      <c r="H14" s="458"/>
      <c r="I14" s="623"/>
      <c r="J14" s="825"/>
      <c r="K14" s="824"/>
    </row>
    <row r="15" spans="1:11" ht="18" customHeight="1">
      <c r="A15" s="625" t="s">
        <v>120</v>
      </c>
      <c r="B15" s="2180" t="s">
        <v>340</v>
      </c>
      <c r="C15" s="2180"/>
      <c r="D15" s="413" t="s">
        <v>3</v>
      </c>
      <c r="E15" s="454"/>
      <c r="F15" s="454">
        <v>3</v>
      </c>
      <c r="G15" s="455"/>
      <c r="H15" s="454"/>
      <c r="I15" s="1217" t="s">
        <v>409</v>
      </c>
      <c r="J15" s="433"/>
    </row>
    <row r="16" spans="1:11" ht="18" customHeight="1">
      <c r="A16" s="625" t="s">
        <v>121</v>
      </c>
      <c r="B16" s="2180" t="s">
        <v>1249</v>
      </c>
      <c r="C16" s="2180"/>
      <c r="D16" s="413" t="s">
        <v>3</v>
      </c>
      <c r="E16" s="454"/>
      <c r="F16" s="454">
        <v>3</v>
      </c>
      <c r="G16" s="455"/>
      <c r="H16" s="454"/>
      <c r="I16" s="1217" t="s">
        <v>410</v>
      </c>
      <c r="J16" s="618"/>
    </row>
    <row r="17" spans="1:11" s="646" customFormat="1" ht="18" customHeight="1">
      <c r="A17" s="648" t="s">
        <v>123</v>
      </c>
      <c r="B17" s="2166" t="s">
        <v>341</v>
      </c>
      <c r="C17" s="2166"/>
      <c r="D17" s="413" t="s">
        <v>3</v>
      </c>
      <c r="E17" s="454"/>
      <c r="F17" s="454">
        <v>3</v>
      </c>
      <c r="G17" s="455"/>
      <c r="H17" s="454"/>
      <c r="I17" s="1217" t="s">
        <v>411</v>
      </c>
      <c r="J17" s="2175"/>
      <c r="K17" s="2176"/>
    </row>
    <row r="18" spans="1:11" s="646" customFormat="1" ht="18" hidden="1" customHeight="1">
      <c r="A18" s="648" t="s">
        <v>123</v>
      </c>
      <c r="B18" s="2166" t="s">
        <v>414</v>
      </c>
      <c r="C18" s="2166"/>
      <c r="D18" s="413" t="s">
        <v>3</v>
      </c>
      <c r="E18" s="454"/>
      <c r="F18" s="454"/>
      <c r="G18" s="455"/>
      <c r="H18" s="454"/>
      <c r="I18" s="1217" t="s">
        <v>411</v>
      </c>
      <c r="J18" s="2175"/>
      <c r="K18" s="2176"/>
    </row>
    <row r="19" spans="1:11" s="622" customFormat="1" ht="28.9" customHeight="1">
      <c r="A19" s="626">
        <v>4</v>
      </c>
      <c r="B19" s="2178" t="s">
        <v>761</v>
      </c>
      <c r="C19" s="2178"/>
      <c r="D19" s="823"/>
      <c r="E19" s="1218"/>
      <c r="F19" s="1218"/>
      <c r="G19" s="1218"/>
      <c r="H19" s="1218"/>
      <c r="I19" s="624"/>
      <c r="J19" s="825"/>
      <c r="K19" s="824"/>
    </row>
    <row r="20" spans="1:11" s="622" customFormat="1" ht="18" customHeight="1">
      <c r="A20" s="1770" t="s">
        <v>8</v>
      </c>
      <c r="B20" s="2181" t="s">
        <v>1235</v>
      </c>
      <c r="C20" s="2181"/>
      <c r="D20" s="413" t="s">
        <v>3</v>
      </c>
      <c r="E20" s="1218"/>
      <c r="F20" s="2151">
        <v>1</v>
      </c>
      <c r="G20" s="1218"/>
      <c r="H20" s="1218"/>
      <c r="I20" s="624"/>
      <c r="J20" s="825"/>
      <c r="K20" s="824"/>
    </row>
    <row r="21" spans="1:11" s="622" customFormat="1" ht="27.6" customHeight="1">
      <c r="A21" s="1771" t="s">
        <v>9</v>
      </c>
      <c r="B21" s="2181" t="s">
        <v>756</v>
      </c>
      <c r="C21" s="2181"/>
      <c r="D21" s="413" t="s">
        <v>3</v>
      </c>
      <c r="E21" s="1218"/>
      <c r="F21" s="1945">
        <v>3</v>
      </c>
      <c r="G21" s="1218"/>
      <c r="H21" s="1218"/>
      <c r="I21" s="624"/>
      <c r="J21" s="825"/>
      <c r="K21" s="824"/>
    </row>
    <row r="22" spans="1:11" s="622" customFormat="1" ht="18" customHeight="1">
      <c r="A22" s="1771" t="s">
        <v>1237</v>
      </c>
      <c r="B22" s="2181" t="s">
        <v>757</v>
      </c>
      <c r="C22" s="2181"/>
      <c r="D22" s="413" t="s">
        <v>3</v>
      </c>
      <c r="E22" s="1218"/>
      <c r="F22" s="1945">
        <v>3</v>
      </c>
      <c r="G22" s="1218"/>
      <c r="H22" s="1218"/>
      <c r="I22" s="624"/>
      <c r="J22" s="825"/>
      <c r="K22" s="824"/>
    </row>
    <row r="23" spans="1:11" s="622" customFormat="1" ht="18" customHeight="1">
      <c r="A23" s="1771" t="s">
        <v>1238</v>
      </c>
      <c r="B23" s="2181" t="s">
        <v>1236</v>
      </c>
      <c r="C23" s="2181"/>
      <c r="D23" s="413" t="s">
        <v>3</v>
      </c>
      <c r="E23" s="1218"/>
      <c r="F23" s="2151">
        <v>1</v>
      </c>
      <c r="G23" s="1218"/>
      <c r="H23" s="1218"/>
      <c r="I23" s="624"/>
      <c r="J23" s="825"/>
      <c r="K23" s="824"/>
    </row>
    <row r="24" spans="1:11" ht="26.45" customHeight="1">
      <c r="A24" s="410">
        <v>5</v>
      </c>
      <c r="B24" s="2179" t="s">
        <v>591</v>
      </c>
      <c r="C24" s="2179"/>
      <c r="D24" s="415"/>
      <c r="E24" s="454"/>
      <c r="F24" s="454"/>
      <c r="G24" s="513"/>
      <c r="H24" s="513"/>
      <c r="I24" s="624"/>
    </row>
    <row r="25" spans="1:11" ht="18" customHeight="1">
      <c r="A25" s="625" t="s">
        <v>342</v>
      </c>
      <c r="B25" s="2166" t="s">
        <v>799</v>
      </c>
      <c r="C25" s="2166"/>
      <c r="D25" s="415" t="s">
        <v>3</v>
      </c>
      <c r="E25" s="514"/>
      <c r="F25" s="454"/>
      <c r="G25" s="455"/>
      <c r="H25" s="454"/>
      <c r="I25" s="1217"/>
      <c r="J25" s="607"/>
    </row>
    <row r="26" spans="1:11" ht="18" customHeight="1">
      <c r="A26" s="625" t="s">
        <v>345</v>
      </c>
      <c r="B26" s="2180" t="s">
        <v>1250</v>
      </c>
      <c r="C26" s="2180"/>
      <c r="D26" s="415" t="s">
        <v>3</v>
      </c>
      <c r="E26" s="514"/>
      <c r="F26" s="454">
        <v>1</v>
      </c>
      <c r="G26" s="455"/>
      <c r="H26" s="454"/>
      <c r="I26" s="1217" t="s">
        <v>594</v>
      </c>
    </row>
    <row r="27" spans="1:11" ht="18" customHeight="1">
      <c r="A27" s="625" t="s">
        <v>382</v>
      </c>
      <c r="B27" s="2180" t="s">
        <v>1251</v>
      </c>
      <c r="C27" s="2180"/>
      <c r="D27" s="627" t="s">
        <v>3</v>
      </c>
      <c r="E27" s="514"/>
      <c r="F27" s="454">
        <v>1</v>
      </c>
      <c r="G27" s="455"/>
      <c r="H27" s="454"/>
      <c r="I27" s="1217" t="s">
        <v>753</v>
      </c>
    </row>
    <row r="28" spans="1:11" ht="25.15" customHeight="1">
      <c r="A28" s="410">
        <v>6</v>
      </c>
      <c r="B28" s="2177" t="s">
        <v>592</v>
      </c>
      <c r="C28" s="2177"/>
      <c r="D28" s="627"/>
      <c r="E28" s="514"/>
      <c r="F28" s="454"/>
      <c r="G28" s="513"/>
      <c r="H28" s="458"/>
      <c r="I28" s="624"/>
    </row>
    <row r="29" spans="1:11" ht="18" customHeight="1">
      <c r="A29" s="625" t="s">
        <v>141</v>
      </c>
      <c r="B29" s="2180" t="s">
        <v>343</v>
      </c>
      <c r="C29" s="2180"/>
      <c r="D29" s="627" t="s">
        <v>3</v>
      </c>
      <c r="E29" s="454"/>
      <c r="F29" s="454">
        <v>3</v>
      </c>
      <c r="G29" s="455"/>
      <c r="H29" s="455"/>
      <c r="I29" s="1217" t="s">
        <v>344</v>
      </c>
    </row>
    <row r="30" spans="1:11" ht="18" customHeight="1">
      <c r="A30" s="625" t="s">
        <v>142</v>
      </c>
      <c r="B30" s="2180" t="s">
        <v>346</v>
      </c>
      <c r="C30" s="2180"/>
      <c r="D30" s="627" t="s">
        <v>3</v>
      </c>
      <c r="E30" s="454"/>
      <c r="F30" s="454">
        <v>3</v>
      </c>
      <c r="G30" s="455"/>
      <c r="H30" s="455"/>
      <c r="I30" s="1217" t="s">
        <v>410</v>
      </c>
    </row>
    <row r="31" spans="1:11" s="622" customFormat="1" ht="18" customHeight="1">
      <c r="A31" s="410">
        <v>7</v>
      </c>
      <c r="B31" s="2177" t="s">
        <v>347</v>
      </c>
      <c r="C31" s="2177"/>
      <c r="D31" s="627" t="s">
        <v>3</v>
      </c>
      <c r="E31" s="458"/>
      <c r="F31" s="454">
        <v>1</v>
      </c>
      <c r="G31" s="513"/>
      <c r="H31" s="513"/>
      <c r="I31" s="1217" t="s">
        <v>348</v>
      </c>
      <c r="K31" s="824"/>
    </row>
    <row r="32" spans="1:11" ht="18" customHeight="1">
      <c r="A32" s="410">
        <v>8</v>
      </c>
      <c r="B32" s="2177" t="s">
        <v>349</v>
      </c>
      <c r="C32" s="2177"/>
      <c r="D32" s="627"/>
      <c r="E32" s="454"/>
      <c r="F32" s="454"/>
      <c r="G32" s="513"/>
      <c r="H32" s="513"/>
      <c r="I32" s="624"/>
    </row>
    <row r="33" spans="1:10" ht="27" customHeight="1">
      <c r="A33" s="410">
        <v>9</v>
      </c>
      <c r="B33" s="2177" t="s">
        <v>350</v>
      </c>
      <c r="C33" s="2177"/>
      <c r="D33" s="627"/>
      <c r="E33" s="454"/>
      <c r="F33" s="513"/>
      <c r="G33" s="513"/>
      <c r="H33" s="513"/>
      <c r="I33" s="624"/>
    </row>
    <row r="34" spans="1:10" ht="18" customHeight="1">
      <c r="A34" s="411"/>
      <c r="B34" s="2206" t="s">
        <v>339</v>
      </c>
      <c r="C34" s="2206"/>
      <c r="D34" s="627"/>
      <c r="E34" s="454"/>
      <c r="F34" s="513"/>
      <c r="G34" s="513"/>
      <c r="H34" s="458"/>
      <c r="I34" s="624"/>
    </row>
    <row r="35" spans="1:10" ht="18" customHeight="1">
      <c r="A35" s="625" t="s">
        <v>352</v>
      </c>
      <c r="B35" s="2206" t="s">
        <v>1252</v>
      </c>
      <c r="C35" s="2206"/>
      <c r="D35" s="627" t="s">
        <v>1</v>
      </c>
      <c r="E35" s="454"/>
      <c r="F35" s="454">
        <v>2550</v>
      </c>
      <c r="G35" s="455"/>
      <c r="H35" s="454"/>
      <c r="I35" s="1217" t="s">
        <v>351</v>
      </c>
      <c r="J35" s="622"/>
    </row>
    <row r="36" spans="1:10" ht="18" customHeight="1">
      <c r="A36" s="625" t="s">
        <v>1247</v>
      </c>
      <c r="B36" s="2206" t="s">
        <v>1253</v>
      </c>
      <c r="C36" s="2206"/>
      <c r="D36" s="627" t="s">
        <v>1</v>
      </c>
      <c r="E36" s="454"/>
      <c r="F36" s="454">
        <f>F38+F39+F40</f>
        <v>2250</v>
      </c>
      <c r="G36" s="455"/>
      <c r="H36" s="454"/>
      <c r="I36" s="1217" t="s">
        <v>351</v>
      </c>
      <c r="J36" s="622"/>
    </row>
    <row r="37" spans="1:10" ht="18" customHeight="1">
      <c r="A37" s="625"/>
      <c r="B37" s="2207" t="s">
        <v>339</v>
      </c>
      <c r="C37" s="2207"/>
      <c r="D37" s="627"/>
      <c r="E37" s="454"/>
      <c r="F37" s="454"/>
      <c r="G37" s="455"/>
      <c r="H37" s="454"/>
      <c r="I37" s="1217"/>
      <c r="J37" s="622"/>
    </row>
    <row r="38" spans="1:10" ht="18" customHeight="1">
      <c r="A38" s="625"/>
      <c r="B38" s="2207" t="s">
        <v>1261</v>
      </c>
      <c r="C38" s="2207"/>
      <c r="D38" s="627" t="s">
        <v>1</v>
      </c>
      <c r="E38" s="454"/>
      <c r="F38" s="454">
        <v>1550</v>
      </c>
      <c r="G38" s="455"/>
      <c r="H38" s="454"/>
      <c r="I38" s="1217"/>
      <c r="J38" s="622"/>
    </row>
    <row r="39" spans="1:10" ht="18" customHeight="1">
      <c r="A39" s="625"/>
      <c r="B39" s="2208" t="s">
        <v>1288</v>
      </c>
      <c r="C39" s="2209"/>
      <c r="D39" s="627" t="s">
        <v>1</v>
      </c>
      <c r="E39" s="454"/>
      <c r="F39" s="454">
        <v>500</v>
      </c>
      <c r="G39" s="455"/>
      <c r="H39" s="454"/>
      <c r="I39" s="1217"/>
      <c r="J39" s="622"/>
    </row>
    <row r="40" spans="1:10" ht="18" customHeight="1">
      <c r="A40" s="625"/>
      <c r="B40" s="2207" t="s">
        <v>1262</v>
      </c>
      <c r="C40" s="2207"/>
      <c r="D40" s="627" t="s">
        <v>1</v>
      </c>
      <c r="E40" s="454"/>
      <c r="F40" s="454">
        <v>200</v>
      </c>
      <c r="G40" s="455"/>
      <c r="H40" s="454"/>
      <c r="I40" s="1217"/>
      <c r="J40" s="622"/>
    </row>
    <row r="41" spans="1:10" ht="18" customHeight="1">
      <c r="A41" s="625" t="s">
        <v>1247</v>
      </c>
      <c r="B41" s="2206" t="s">
        <v>1254</v>
      </c>
      <c r="C41" s="2206"/>
      <c r="D41" s="627" t="s">
        <v>1</v>
      </c>
      <c r="E41" s="454"/>
      <c r="F41" s="454">
        <f>F43+F44</f>
        <v>1300</v>
      </c>
      <c r="G41" s="455"/>
      <c r="H41" s="454"/>
      <c r="I41" s="1217" t="s">
        <v>351</v>
      </c>
      <c r="J41" s="622"/>
    </row>
    <row r="42" spans="1:10" ht="18" customHeight="1">
      <c r="A42" s="625"/>
      <c r="B42" s="2207" t="s">
        <v>339</v>
      </c>
      <c r="C42" s="2207"/>
      <c r="D42" s="627"/>
      <c r="E42" s="454"/>
      <c r="F42" s="454"/>
      <c r="G42" s="455"/>
      <c r="H42" s="454"/>
      <c r="I42" s="1217"/>
      <c r="J42" s="622"/>
    </row>
    <row r="43" spans="1:10" ht="18" customHeight="1">
      <c r="A43" s="625"/>
      <c r="B43" s="2207" t="s">
        <v>1261</v>
      </c>
      <c r="C43" s="2207"/>
      <c r="D43" s="627" t="s">
        <v>1</v>
      </c>
      <c r="E43" s="454"/>
      <c r="F43" s="454">
        <v>1100</v>
      </c>
      <c r="G43" s="455"/>
      <c r="H43" s="454"/>
      <c r="I43" s="1217"/>
      <c r="J43" s="622"/>
    </row>
    <row r="44" spans="1:10" ht="18" customHeight="1">
      <c r="A44" s="625"/>
      <c r="B44" s="2207" t="s">
        <v>1262</v>
      </c>
      <c r="C44" s="2207"/>
      <c r="D44" s="627" t="s">
        <v>1</v>
      </c>
      <c r="E44" s="454"/>
      <c r="F44" s="454">
        <v>200</v>
      </c>
      <c r="G44" s="455"/>
      <c r="H44" s="454"/>
      <c r="I44" s="1217"/>
      <c r="J44" s="622"/>
    </row>
    <row r="45" spans="1:10" ht="18" customHeight="1">
      <c r="A45" s="625" t="s">
        <v>1248</v>
      </c>
      <c r="B45" s="2204" t="s">
        <v>1362</v>
      </c>
      <c r="C45" s="2205"/>
      <c r="D45" s="627" t="s">
        <v>3</v>
      </c>
      <c r="E45" s="454"/>
      <c r="F45" s="454">
        <v>1</v>
      </c>
      <c r="G45" s="455"/>
      <c r="H45" s="454"/>
      <c r="I45" s="1217" t="s">
        <v>351</v>
      </c>
      <c r="J45" s="1908"/>
    </row>
    <row r="46" spans="1:10" ht="18" customHeight="1">
      <c r="A46" s="625" t="s">
        <v>1363</v>
      </c>
      <c r="B46" s="2204" t="s">
        <v>1361</v>
      </c>
      <c r="C46" s="2205"/>
      <c r="D46" s="627" t="s">
        <v>3</v>
      </c>
      <c r="E46" s="454"/>
      <c r="F46" s="454">
        <v>1</v>
      </c>
      <c r="G46" s="455"/>
      <c r="H46" s="454"/>
      <c r="I46" s="1217" t="s">
        <v>351</v>
      </c>
      <c r="J46" s="1908"/>
    </row>
    <row r="47" spans="1:10" ht="18" customHeight="1">
      <c r="A47" s="625" t="s">
        <v>1364</v>
      </c>
      <c r="B47" s="2204" t="s">
        <v>1360</v>
      </c>
      <c r="C47" s="2205"/>
      <c r="D47" s="627" t="s">
        <v>3</v>
      </c>
      <c r="E47" s="454"/>
      <c r="F47" s="454">
        <v>1</v>
      </c>
      <c r="G47" s="455"/>
      <c r="H47" s="454"/>
      <c r="I47" s="1217" t="s">
        <v>351</v>
      </c>
      <c r="J47" s="1908"/>
    </row>
    <row r="48" spans="1:10" ht="18" customHeight="1">
      <c r="A48" s="628">
        <v>10</v>
      </c>
      <c r="B48" s="2177" t="s">
        <v>152</v>
      </c>
      <c r="C48" s="2177"/>
      <c r="D48" s="629"/>
      <c r="E48" s="513"/>
      <c r="F48" s="513"/>
      <c r="G48" s="513"/>
      <c r="H48" s="513"/>
      <c r="I48" s="624"/>
      <c r="J48" s="1908"/>
    </row>
    <row r="49" spans="1:14" s="414" customFormat="1" ht="18" customHeight="1">
      <c r="A49" s="630" t="s">
        <v>383</v>
      </c>
      <c r="B49" s="2166" t="s">
        <v>1264</v>
      </c>
      <c r="C49" s="2166"/>
      <c r="D49" s="415" t="s">
        <v>3</v>
      </c>
      <c r="E49" s="455"/>
      <c r="F49" s="455">
        <v>3</v>
      </c>
      <c r="G49" s="455"/>
      <c r="H49" s="458"/>
      <c r="I49" s="1217" t="s">
        <v>351</v>
      </c>
      <c r="K49" s="643"/>
    </row>
    <row r="50" spans="1:14" s="414" customFormat="1" ht="18" customHeight="1">
      <c r="A50" s="630" t="s">
        <v>384</v>
      </c>
      <c r="B50" s="2166" t="s">
        <v>1263</v>
      </c>
      <c r="C50" s="2166"/>
      <c r="D50" s="415" t="s">
        <v>3</v>
      </c>
      <c r="E50" s="455"/>
      <c r="F50" s="455">
        <v>3</v>
      </c>
      <c r="G50" s="455"/>
      <c r="H50" s="458"/>
      <c r="I50" s="1217" t="s">
        <v>351</v>
      </c>
      <c r="K50" s="643"/>
    </row>
    <row r="51" spans="1:14" s="414" customFormat="1" ht="18" customHeight="1">
      <c r="A51" s="630" t="s">
        <v>1365</v>
      </c>
      <c r="B51" s="2166" t="s">
        <v>1366</v>
      </c>
      <c r="C51" s="2166"/>
      <c r="D51" s="415" t="s">
        <v>3</v>
      </c>
      <c r="E51" s="455"/>
      <c r="F51" s="455">
        <v>1</v>
      </c>
      <c r="G51" s="455"/>
      <c r="H51" s="458"/>
      <c r="I51" s="1217" t="s">
        <v>351</v>
      </c>
      <c r="K51" s="643"/>
    </row>
    <row r="52" spans="1:14" s="639" customFormat="1" ht="18" customHeight="1">
      <c r="A52" s="1906">
        <v>11</v>
      </c>
      <c r="B52" s="2171" t="s">
        <v>1243</v>
      </c>
      <c r="C52" s="2172"/>
      <c r="D52" s="415"/>
      <c r="E52" s="514"/>
      <c r="F52" s="455"/>
      <c r="G52" s="513"/>
      <c r="H52" s="513"/>
      <c r="I52" s="1217"/>
      <c r="K52" s="644"/>
      <c r="L52" s="650"/>
      <c r="M52" s="650"/>
      <c r="N52" s="650"/>
    </row>
    <row r="53" spans="1:14" ht="18" customHeight="1">
      <c r="A53" s="630" t="s">
        <v>633</v>
      </c>
      <c r="B53" s="2173" t="s">
        <v>1255</v>
      </c>
      <c r="C53" s="2173"/>
      <c r="D53" s="413" t="s">
        <v>3</v>
      </c>
      <c r="E53" s="454"/>
      <c r="F53" s="454">
        <v>1</v>
      </c>
      <c r="G53" s="454"/>
      <c r="H53" s="454"/>
      <c r="I53" s="1217" t="s">
        <v>722</v>
      </c>
    </row>
    <row r="54" spans="1:14" ht="18" customHeight="1">
      <c r="A54" s="630" t="s">
        <v>635</v>
      </c>
      <c r="B54" s="2173" t="s">
        <v>1256</v>
      </c>
      <c r="C54" s="2173"/>
      <c r="D54" s="413" t="s">
        <v>3</v>
      </c>
      <c r="E54" s="454"/>
      <c r="F54" s="454">
        <v>1</v>
      </c>
      <c r="G54" s="454"/>
      <c r="H54" s="454"/>
      <c r="I54" s="1217" t="s">
        <v>722</v>
      </c>
    </row>
    <row r="55" spans="1:14" ht="18" customHeight="1">
      <c r="A55" s="630" t="s">
        <v>636</v>
      </c>
      <c r="B55" s="2173" t="s">
        <v>1257</v>
      </c>
      <c r="C55" s="2173"/>
      <c r="D55" s="413" t="s">
        <v>3</v>
      </c>
      <c r="E55" s="454"/>
      <c r="F55" s="454">
        <v>1</v>
      </c>
      <c r="G55" s="454"/>
      <c r="H55" s="454"/>
      <c r="I55" s="1217" t="s">
        <v>722</v>
      </c>
    </row>
    <row r="56" spans="1:14" ht="18" customHeight="1">
      <c r="A56" s="410">
        <v>12</v>
      </c>
      <c r="B56" s="2167" t="s">
        <v>1244</v>
      </c>
      <c r="C56" s="2168"/>
      <c r="D56" s="413" t="s">
        <v>3</v>
      </c>
      <c r="E56" s="458"/>
      <c r="F56" s="458">
        <v>1</v>
      </c>
      <c r="G56" s="458"/>
      <c r="H56" s="458"/>
      <c r="I56" s="1217" t="s">
        <v>412</v>
      </c>
      <c r="K56" s="645"/>
      <c r="L56" s="656"/>
      <c r="M56" s="646"/>
    </row>
    <row r="57" spans="1:14" ht="18" customHeight="1">
      <c r="A57" s="410">
        <v>13</v>
      </c>
      <c r="B57" s="2167" t="s">
        <v>1258</v>
      </c>
      <c r="C57" s="2168"/>
      <c r="D57" s="413" t="s">
        <v>3</v>
      </c>
      <c r="E57" s="458"/>
      <c r="F57" s="458">
        <v>1</v>
      </c>
      <c r="G57" s="458"/>
      <c r="H57" s="458"/>
      <c r="I57" s="1217" t="s">
        <v>412</v>
      </c>
      <c r="K57" s="645"/>
      <c r="L57" s="656"/>
      <c r="M57" s="646"/>
    </row>
    <row r="58" spans="1:14" ht="18" customHeight="1">
      <c r="A58" s="410">
        <v>14</v>
      </c>
      <c r="B58" s="2167" t="s">
        <v>1259</v>
      </c>
      <c r="C58" s="2168"/>
      <c r="D58" s="413" t="s">
        <v>3</v>
      </c>
      <c r="E58" s="458"/>
      <c r="F58" s="458">
        <v>1</v>
      </c>
      <c r="G58" s="458"/>
      <c r="H58" s="458"/>
      <c r="I58" s="1217" t="s">
        <v>412</v>
      </c>
      <c r="K58" s="645"/>
      <c r="L58" s="656"/>
      <c r="M58" s="646"/>
    </row>
    <row r="59" spans="1:14" ht="18" customHeight="1">
      <c r="A59" s="1194"/>
      <c r="B59" s="2169" t="s">
        <v>353</v>
      </c>
      <c r="C59" s="2170"/>
      <c r="D59" s="1195"/>
      <c r="E59" s="1196"/>
      <c r="F59" s="1197"/>
      <c r="G59" s="1197">
        <f>G32+G33+G48+G52+G56+G58</f>
        <v>0</v>
      </c>
      <c r="H59" s="1197">
        <f>H32+H33+H48+H52+H56+H58</f>
        <v>0</v>
      </c>
      <c r="I59" s="1198"/>
      <c r="J59" s="607"/>
      <c r="K59" s="645"/>
      <c r="L59" s="656"/>
      <c r="M59" s="647"/>
    </row>
    <row r="60" spans="1:14" ht="16.149999999999999" customHeight="1">
      <c r="A60" s="1761">
        <v>15</v>
      </c>
      <c r="B60" s="2165" t="s">
        <v>1233</v>
      </c>
      <c r="C60" s="2165"/>
      <c r="D60" s="651"/>
      <c r="E60" s="652"/>
      <c r="F60" s="653"/>
      <c r="G60" s="654"/>
      <c r="H60" s="655"/>
      <c r="I60" s="1193"/>
      <c r="J60" s="607"/>
      <c r="L60" s="656"/>
      <c r="M60" s="607"/>
    </row>
    <row r="61" spans="1:14" ht="17.45" customHeight="1">
      <c r="A61" s="657" t="s">
        <v>419</v>
      </c>
      <c r="B61" s="2165" t="s">
        <v>1231</v>
      </c>
      <c r="C61" s="2165"/>
      <c r="D61" s="415" t="s">
        <v>72</v>
      </c>
      <c r="E61" s="456"/>
      <c r="F61" s="454">
        <v>1</v>
      </c>
      <c r="G61" s="457"/>
      <c r="H61" s="456"/>
      <c r="I61" s="1217" t="s">
        <v>1234</v>
      </c>
      <c r="J61" s="1261"/>
      <c r="L61" s="656"/>
      <c r="M61" s="607"/>
    </row>
    <row r="62" spans="1:14" ht="18" customHeight="1" thickBot="1">
      <c r="A62" s="1234" t="s">
        <v>420</v>
      </c>
      <c r="B62" s="2174" t="s">
        <v>1232</v>
      </c>
      <c r="C62" s="2174"/>
      <c r="D62" s="2150" t="s">
        <v>72</v>
      </c>
      <c r="E62" s="1235"/>
      <c r="F62" s="1236">
        <v>1</v>
      </c>
      <c r="G62" s="1303"/>
      <c r="H62" s="1235"/>
      <c r="I62" s="1237" t="s">
        <v>1234</v>
      </c>
      <c r="L62" s="656"/>
      <c r="M62" s="607"/>
    </row>
    <row r="63" spans="1:14">
      <c r="B63" s="416"/>
      <c r="C63" s="417"/>
      <c r="D63" s="418"/>
      <c r="E63" s="416"/>
      <c r="F63" s="416"/>
      <c r="G63" s="418"/>
      <c r="H63" s="631"/>
      <c r="I63" s="419"/>
    </row>
    <row r="64" spans="1:14" ht="15" customHeight="1"/>
    <row r="65" spans="2:10" ht="16.149999999999999" customHeight="1">
      <c r="B65" s="420"/>
      <c r="C65" s="420"/>
      <c r="D65" s="420"/>
      <c r="E65" s="420"/>
      <c r="F65" s="420"/>
      <c r="G65" s="420"/>
      <c r="H65" s="420"/>
      <c r="I65" s="420"/>
    </row>
    <row r="66" spans="2:10" ht="30.75" customHeight="1">
      <c r="B66" s="2164"/>
      <c r="C66" s="2164"/>
      <c r="D66" s="632"/>
      <c r="E66" s="632"/>
      <c r="F66" s="632"/>
      <c r="G66" s="632"/>
      <c r="H66" s="633"/>
      <c r="I66" s="634"/>
      <c r="J66" s="607"/>
    </row>
    <row r="67" spans="2:10">
      <c r="C67" s="421"/>
      <c r="D67" s="2163" t="s">
        <v>124</v>
      </c>
      <c r="E67" s="2163"/>
      <c r="F67" s="2163"/>
      <c r="G67" s="2163"/>
      <c r="H67" s="633"/>
      <c r="I67" s="422" t="s">
        <v>407</v>
      </c>
    </row>
  </sheetData>
  <mergeCells count="68">
    <mergeCell ref="B46:C46"/>
    <mergeCell ref="B47:C47"/>
    <mergeCell ref="B45:C45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16:C16"/>
    <mergeCell ref="B11:C11"/>
    <mergeCell ref="B12:C12"/>
    <mergeCell ref="B26:C26"/>
    <mergeCell ref="B27:C27"/>
    <mergeCell ref="I9:I10"/>
    <mergeCell ref="D9:D10"/>
    <mergeCell ref="E9:E10"/>
    <mergeCell ref="B14:C14"/>
    <mergeCell ref="B15:C15"/>
    <mergeCell ref="D1:I1"/>
    <mergeCell ref="A3:I3"/>
    <mergeCell ref="A4:I4"/>
    <mergeCell ref="A5:B5"/>
    <mergeCell ref="A7:B7"/>
    <mergeCell ref="A9:A10"/>
    <mergeCell ref="B9:C10"/>
    <mergeCell ref="B13:C13"/>
    <mergeCell ref="G9:H9"/>
    <mergeCell ref="F9:F10"/>
    <mergeCell ref="J17:J18"/>
    <mergeCell ref="K17:K18"/>
    <mergeCell ref="B48:C48"/>
    <mergeCell ref="B17:C17"/>
    <mergeCell ref="B18:C18"/>
    <mergeCell ref="B19:C19"/>
    <mergeCell ref="B24:C24"/>
    <mergeCell ref="B25:C25"/>
    <mergeCell ref="B30:C30"/>
    <mergeCell ref="B20:C20"/>
    <mergeCell ref="B21:C21"/>
    <mergeCell ref="B22:C22"/>
    <mergeCell ref="B23:C23"/>
    <mergeCell ref="B31:C31"/>
    <mergeCell ref="B28:C28"/>
    <mergeCell ref="B29:C29"/>
    <mergeCell ref="D67:G67"/>
    <mergeCell ref="B66:C66"/>
    <mergeCell ref="B60:C60"/>
    <mergeCell ref="B49:C49"/>
    <mergeCell ref="B56:C56"/>
    <mergeCell ref="B59:C59"/>
    <mergeCell ref="B52:C52"/>
    <mergeCell ref="B53:C53"/>
    <mergeCell ref="B61:C61"/>
    <mergeCell ref="B62:C62"/>
    <mergeCell ref="B50:C50"/>
    <mergeCell ref="B58:C58"/>
    <mergeCell ref="B54:C54"/>
    <mergeCell ref="B55:C55"/>
    <mergeCell ref="B57:C57"/>
    <mergeCell ref="B51:C51"/>
  </mergeCells>
  <pageMargins left="0.98425196850393704" right="0.19685039370078741" top="0.39370078740157483" bottom="0.39370078740157483" header="0" footer="0"/>
  <pageSetup paperSize="9" scale="5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workbookViewId="0">
      <selection activeCell="J34" sqref="J34"/>
    </sheetView>
  </sheetViews>
  <sheetFormatPr defaultRowHeight="12.75"/>
  <cols>
    <col min="1" max="1" width="42.28515625" style="42" customWidth="1"/>
    <col min="2" max="2" width="8.85546875" style="43" customWidth="1"/>
    <col min="3" max="3" width="10.7109375" style="43" customWidth="1"/>
    <col min="4" max="4" width="8.85546875" style="43" customWidth="1"/>
    <col min="5" max="5" width="11.85546875" style="43" customWidth="1"/>
    <col min="6" max="6" width="10.28515625" style="43" customWidth="1"/>
    <col min="7" max="7" width="9.7109375" style="43" customWidth="1"/>
    <col min="8" max="9" width="9.5703125" style="43" customWidth="1"/>
    <col min="10" max="10" width="10.28515625" style="43" customWidth="1"/>
    <col min="11" max="11" width="12.5703125" style="42" customWidth="1"/>
    <col min="12" max="12" width="14.28515625" style="43" bestFit="1" customWidth="1"/>
    <col min="13" max="13" width="12.140625" style="42" bestFit="1" customWidth="1"/>
    <col min="14" max="14" width="11.28515625" style="42" customWidth="1"/>
    <col min="15" max="15" width="8" style="54" customWidth="1"/>
    <col min="16" max="16" width="15.5703125" style="43" bestFit="1" customWidth="1"/>
    <col min="17" max="17" width="13.28515625" style="43" hidden="1" customWidth="1"/>
    <col min="18" max="18" width="15.140625" style="43" customWidth="1"/>
  </cols>
  <sheetData>
    <row r="1" spans="1:18" ht="15.75">
      <c r="A1" s="1809"/>
      <c r="B1" s="1810"/>
      <c r="C1" s="1810"/>
      <c r="D1" s="1810"/>
      <c r="E1" s="1810"/>
      <c r="F1" s="1810"/>
      <c r="G1" s="1809"/>
      <c r="H1" s="1810"/>
      <c r="I1" s="1809"/>
      <c r="J1" s="1811"/>
      <c r="K1" s="756"/>
      <c r="L1" s="756"/>
      <c r="M1" s="756"/>
      <c r="N1" s="756"/>
      <c r="O1" s="756"/>
      <c r="P1" s="1811"/>
      <c r="Q1" s="756" t="s">
        <v>354</v>
      </c>
      <c r="R1" s="1811"/>
    </row>
    <row r="2" spans="1:18" ht="15.75">
      <c r="A2" s="2310" t="s">
        <v>338</v>
      </c>
      <c r="B2" s="2310"/>
      <c r="C2" s="2310"/>
      <c r="D2" s="2310"/>
      <c r="E2" s="2310"/>
      <c r="F2" s="2310"/>
      <c r="G2" s="2310"/>
      <c r="H2" s="2310"/>
      <c r="I2" s="2310"/>
      <c r="J2" s="2310"/>
      <c r="K2" s="2310"/>
      <c r="L2" s="2310"/>
      <c r="M2" s="2310"/>
      <c r="N2" s="2310"/>
      <c r="O2" s="2310"/>
      <c r="P2" s="2310"/>
      <c r="Q2" s="2310"/>
      <c r="R2" s="2310"/>
    </row>
    <row r="3" spans="1:18" ht="15.75">
      <c r="A3" s="2311" t="s">
        <v>1274</v>
      </c>
      <c r="B3" s="2311"/>
      <c r="C3" s="2311"/>
      <c r="D3" s="2311"/>
      <c r="E3" s="2311"/>
      <c r="F3" s="2311"/>
      <c r="G3" s="2311"/>
      <c r="H3" s="2311"/>
      <c r="I3" s="2311"/>
      <c r="J3" s="2311"/>
      <c r="K3" s="2311"/>
      <c r="L3" s="2311"/>
      <c r="M3" s="2311"/>
      <c r="N3" s="2311"/>
      <c r="O3" s="2311"/>
      <c r="P3" s="2311"/>
      <c r="Q3" s="2311"/>
      <c r="R3" s="2311"/>
    </row>
    <row r="4" spans="1:18" ht="16.5" thickBot="1">
      <c r="A4" s="2310"/>
      <c r="B4" s="2310"/>
      <c r="C4" s="2310"/>
      <c r="D4" s="2310"/>
      <c r="E4" s="2310"/>
      <c r="F4" s="2310"/>
      <c r="G4" s="2310"/>
      <c r="H4" s="2310"/>
      <c r="I4" s="2310"/>
      <c r="J4" s="1812"/>
      <c r="K4" s="1813"/>
      <c r="L4" s="1814" t="s">
        <v>54</v>
      </c>
      <c r="M4" s="1814"/>
      <c r="N4" s="1814"/>
      <c r="O4" s="1811"/>
      <c r="P4" s="1811"/>
      <c r="Q4" s="1811"/>
      <c r="R4" s="1811"/>
    </row>
    <row r="5" spans="1:18" ht="17.25" thickTop="1" thickBot="1">
      <c r="A5" s="1816" t="s">
        <v>585</v>
      </c>
      <c r="B5" s="1817"/>
      <c r="C5" s="1818"/>
      <c r="D5" s="1817"/>
      <c r="E5" s="1817"/>
      <c r="F5" s="1819"/>
      <c r="G5" s="2308" t="s">
        <v>586</v>
      </c>
      <c r="H5" s="2309"/>
      <c r="I5" s="1819"/>
      <c r="J5" s="2308"/>
      <c r="K5" s="2309"/>
      <c r="L5" s="1819" t="s">
        <v>317</v>
      </c>
      <c r="M5" s="1135"/>
      <c r="N5" s="1820"/>
      <c r="O5" s="1821"/>
      <c r="P5" s="1822"/>
      <c r="Q5" s="1821"/>
      <c r="R5" s="1823"/>
    </row>
    <row r="6" spans="1:18" ht="17.25" thickTop="1" thickBot="1">
      <c r="A6" s="1816" t="s">
        <v>587</v>
      </c>
      <c r="B6" s="1817"/>
      <c r="C6" s="1824"/>
      <c r="D6" s="1825"/>
      <c r="E6" s="1825"/>
      <c r="F6" s="1819"/>
      <c r="G6" s="2308"/>
      <c r="H6" s="2309"/>
      <c r="I6" s="1819"/>
      <c r="J6" s="2308"/>
      <c r="K6" s="2309"/>
      <c r="L6" s="1819" t="s">
        <v>317</v>
      </c>
      <c r="M6" s="1135"/>
      <c r="N6" s="1820"/>
      <c r="O6" s="1821"/>
      <c r="P6" s="1822"/>
      <c r="Q6" s="1821"/>
      <c r="R6" s="1823"/>
    </row>
    <row r="7" spans="1:18" ht="17.25" thickTop="1" thickBot="1">
      <c r="A7" s="1816"/>
      <c r="B7" s="1817"/>
      <c r="C7" s="1824"/>
      <c r="D7" s="1825"/>
      <c r="E7" s="1825"/>
      <c r="F7" s="1819"/>
      <c r="G7" s="2308" t="s">
        <v>586</v>
      </c>
      <c r="H7" s="2309"/>
      <c r="I7" s="1819"/>
      <c r="J7" s="2308">
        <f>J6</f>
        <v>0</v>
      </c>
      <c r="K7" s="2309"/>
      <c r="L7" s="1819"/>
      <c r="M7" s="1135"/>
      <c r="N7"/>
      <c r="O7"/>
      <c r="P7"/>
      <c r="Q7"/>
      <c r="R7"/>
    </row>
    <row r="8" spans="1:18" ht="14.25" thickTop="1" thickBot="1">
      <c r="A8" s="48"/>
      <c r="B8" s="49"/>
      <c r="C8" s="49"/>
      <c r="D8" s="49"/>
      <c r="E8" s="49"/>
      <c r="F8" s="49"/>
      <c r="G8" s="49"/>
      <c r="H8" s="49"/>
      <c r="I8" s="49"/>
      <c r="J8" s="49"/>
      <c r="K8" s="50"/>
      <c r="L8" s="51"/>
      <c r="M8" s="1253"/>
      <c r="N8" s="1253"/>
      <c r="O8" s="1254"/>
      <c r="P8" s="1255"/>
      <c r="Q8" s="1255"/>
      <c r="R8" s="1256"/>
    </row>
    <row r="9" spans="1:18" ht="60">
      <c r="A9" s="2303" t="s">
        <v>55</v>
      </c>
      <c r="B9" s="1913" t="s">
        <v>56</v>
      </c>
      <c r="C9" s="1913" t="s">
        <v>167</v>
      </c>
      <c r="D9" s="1913" t="s">
        <v>168</v>
      </c>
      <c r="E9" s="2305" t="s">
        <v>170</v>
      </c>
      <c r="F9" s="2305"/>
      <c r="G9" s="2305" t="s">
        <v>171</v>
      </c>
      <c r="H9" s="2305"/>
      <c r="I9" s="1913" t="s">
        <v>175</v>
      </c>
      <c r="J9" s="1913" t="s">
        <v>100</v>
      </c>
      <c r="K9" s="1911" t="s">
        <v>158</v>
      </c>
      <c r="L9" s="1913" t="s">
        <v>57</v>
      </c>
      <c r="M9" s="1911" t="s">
        <v>169</v>
      </c>
      <c r="N9" s="1911" t="s">
        <v>71</v>
      </c>
      <c r="O9" s="31" t="s">
        <v>58</v>
      </c>
      <c r="P9" s="1913" t="s">
        <v>59</v>
      </c>
      <c r="Q9" s="1913" t="s">
        <v>60</v>
      </c>
      <c r="R9" s="32" t="s">
        <v>61</v>
      </c>
    </row>
    <row r="10" spans="1:18" ht="15">
      <c r="A10" s="2304"/>
      <c r="B10" s="34" t="s">
        <v>63</v>
      </c>
      <c r="C10" s="34" t="s">
        <v>160</v>
      </c>
      <c r="D10" s="34" t="s">
        <v>66</v>
      </c>
      <c r="E10" s="34" t="s">
        <v>381</v>
      </c>
      <c r="F10" s="34" t="s">
        <v>102</v>
      </c>
      <c r="G10" s="34" t="s">
        <v>101</v>
      </c>
      <c r="H10" s="34" t="s">
        <v>102</v>
      </c>
      <c r="I10" s="34" t="s">
        <v>161</v>
      </c>
      <c r="J10" s="34" t="s">
        <v>161</v>
      </c>
      <c r="K10" s="1912" t="s">
        <v>64</v>
      </c>
      <c r="L10" s="34" t="s">
        <v>65</v>
      </c>
      <c r="M10" s="35" t="s">
        <v>66</v>
      </c>
      <c r="N10" s="35" t="s">
        <v>66</v>
      </c>
      <c r="O10" s="36" t="s">
        <v>65</v>
      </c>
      <c r="P10" s="37" t="s">
        <v>65</v>
      </c>
      <c r="Q10" s="37" t="s">
        <v>65</v>
      </c>
      <c r="R10" s="38" t="s">
        <v>65</v>
      </c>
    </row>
    <row r="11" spans="1:18" ht="15">
      <c r="A11" s="39">
        <v>2</v>
      </c>
      <c r="B11" s="39">
        <v>3</v>
      </c>
      <c r="C11" s="39">
        <v>4</v>
      </c>
      <c r="D11" s="39">
        <v>5</v>
      </c>
      <c r="E11" s="39">
        <v>6</v>
      </c>
      <c r="F11" s="40" t="s">
        <v>91</v>
      </c>
      <c r="G11" s="40" t="s">
        <v>92</v>
      </c>
      <c r="H11" s="40" t="s">
        <v>93</v>
      </c>
      <c r="I11" s="39">
        <v>10</v>
      </c>
      <c r="J11" s="40" t="s">
        <v>94</v>
      </c>
      <c r="K11" s="39">
        <v>12</v>
      </c>
      <c r="L11" s="40" t="s">
        <v>95</v>
      </c>
      <c r="M11" s="39">
        <v>14</v>
      </c>
      <c r="N11" s="40" t="s">
        <v>96</v>
      </c>
      <c r="O11" s="40">
        <v>16</v>
      </c>
      <c r="P11" s="40" t="s">
        <v>97</v>
      </c>
      <c r="Q11" s="40" t="s">
        <v>97</v>
      </c>
      <c r="R11" s="140" t="s">
        <v>99</v>
      </c>
    </row>
    <row r="12" spans="1:18" ht="15.75">
      <c r="A12" s="833" t="s">
        <v>607</v>
      </c>
      <c r="B12" s="1829"/>
      <c r="C12" s="1830"/>
      <c r="D12" s="1830"/>
      <c r="E12" s="1830"/>
      <c r="F12" s="1831"/>
      <c r="G12" s="1831"/>
      <c r="H12" s="1831"/>
      <c r="I12" s="1830"/>
      <c r="J12" s="1831"/>
      <c r="K12" s="1830"/>
      <c r="L12" s="1831"/>
      <c r="M12" s="1830"/>
      <c r="N12" s="1831"/>
      <c r="O12" s="1831"/>
      <c r="P12" s="1831"/>
      <c r="Q12" s="1831"/>
      <c r="R12" s="1832"/>
    </row>
    <row r="13" spans="1:18" ht="15.75">
      <c r="A13" s="839"/>
      <c r="B13" s="1292"/>
      <c r="C13" s="1830"/>
      <c r="D13" s="1830"/>
      <c r="E13" s="1292"/>
      <c r="F13" s="1292"/>
      <c r="G13" s="1292"/>
      <c r="H13" s="1292"/>
      <c r="I13" s="1834"/>
      <c r="J13" s="1292"/>
      <c r="K13" s="1835"/>
      <c r="L13" s="1835"/>
      <c r="M13" s="1835"/>
      <c r="N13" s="1835"/>
      <c r="O13" s="1835"/>
      <c r="P13" s="1835"/>
      <c r="Q13" s="1836"/>
      <c r="R13" s="1837"/>
    </row>
    <row r="14" spans="1:18" ht="15.75">
      <c r="A14" s="839"/>
      <c r="B14" s="1838"/>
      <c r="C14" s="1830"/>
      <c r="D14" s="1830"/>
      <c r="E14" s="1292"/>
      <c r="F14" s="1292"/>
      <c r="G14" s="1292"/>
      <c r="H14" s="1292"/>
      <c r="I14" s="1834"/>
      <c r="J14" s="1292"/>
      <c r="K14" s="1835"/>
      <c r="L14" s="1835"/>
      <c r="M14" s="1835"/>
      <c r="N14" s="1835"/>
      <c r="O14" s="1835"/>
      <c r="P14" s="1835"/>
      <c r="Q14" s="1836"/>
      <c r="R14" s="1837"/>
    </row>
    <row r="15" spans="1:18" ht="15.75">
      <c r="A15" s="1839"/>
      <c r="B15" s="1292"/>
      <c r="C15" s="1830"/>
      <c r="D15" s="1830"/>
      <c r="E15" s="1292"/>
      <c r="F15" s="1292"/>
      <c r="G15" s="1292"/>
      <c r="H15" s="1292"/>
      <c r="I15" s="1834"/>
      <c r="J15" s="1292"/>
      <c r="K15" s="1835"/>
      <c r="L15" s="1835"/>
      <c r="M15" s="1835"/>
      <c r="N15" s="1835"/>
      <c r="O15" s="1835"/>
      <c r="P15" s="1835"/>
      <c r="Q15" s="1836"/>
      <c r="R15" s="1837"/>
    </row>
    <row r="16" spans="1:18" ht="15.75">
      <c r="A16" s="1839"/>
      <c r="B16" s="1292"/>
      <c r="C16" s="1830"/>
      <c r="D16" s="1830"/>
      <c r="E16" s="1292"/>
      <c r="F16" s="1292"/>
      <c r="G16" s="1292"/>
      <c r="H16" s="1292"/>
      <c r="I16" s="1834"/>
      <c r="J16" s="1292"/>
      <c r="K16" s="1835"/>
      <c r="L16" s="1835"/>
      <c r="M16" s="1835"/>
      <c r="N16" s="1835"/>
      <c r="O16" s="1835"/>
      <c r="P16" s="1835"/>
      <c r="Q16" s="1836"/>
      <c r="R16" s="1837"/>
    </row>
    <row r="17" spans="1:18" ht="15.75">
      <c r="A17" s="1839"/>
      <c r="B17" s="1838"/>
      <c r="C17" s="1830"/>
      <c r="D17" s="1830"/>
      <c r="E17" s="1292"/>
      <c r="F17" s="1292"/>
      <c r="G17" s="1292"/>
      <c r="H17" s="1292"/>
      <c r="I17" s="1834"/>
      <c r="J17" s="1292"/>
      <c r="K17" s="1835"/>
      <c r="L17" s="1835"/>
      <c r="M17" s="1835"/>
      <c r="N17" s="1835"/>
      <c r="O17" s="1835"/>
      <c r="P17" s="1835"/>
      <c r="Q17" s="1836"/>
      <c r="R17" s="1837"/>
    </row>
    <row r="18" spans="1:18" ht="15.75">
      <c r="A18" s="1839"/>
      <c r="B18" s="1838"/>
      <c r="C18" s="1830"/>
      <c r="D18" s="1830"/>
      <c r="E18" s="1292"/>
      <c r="F18" s="1292"/>
      <c r="G18" s="1292"/>
      <c r="H18" s="1292"/>
      <c r="I18" s="1834"/>
      <c r="J18" s="1292"/>
      <c r="K18" s="1835"/>
      <c r="L18" s="1835"/>
      <c r="M18" s="1835"/>
      <c r="N18" s="1835"/>
      <c r="O18" s="1835"/>
      <c r="P18" s="1835"/>
      <c r="Q18" s="1836"/>
      <c r="R18" s="1837"/>
    </row>
    <row r="19" spans="1:18" ht="15.75">
      <c r="A19" s="1839"/>
      <c r="B19" s="1838"/>
      <c r="C19" s="1830"/>
      <c r="D19" s="1830"/>
      <c r="E19" s="1292"/>
      <c r="F19" s="1292"/>
      <c r="G19" s="1292"/>
      <c r="H19" s="1292"/>
      <c r="I19" s="1834"/>
      <c r="J19" s="1292"/>
      <c r="K19" s="1835"/>
      <c r="L19" s="1835"/>
      <c r="M19" s="1835"/>
      <c r="N19" s="1835"/>
      <c r="O19" s="1835"/>
      <c r="P19" s="1835"/>
      <c r="Q19" s="1836"/>
      <c r="R19" s="1837"/>
    </row>
    <row r="20" spans="1:18" ht="15.75">
      <c r="A20" s="1839"/>
      <c r="B20" s="1838"/>
      <c r="C20" s="1830"/>
      <c r="D20" s="1830"/>
      <c r="E20" s="1292"/>
      <c r="F20" s="1292"/>
      <c r="G20" s="1292"/>
      <c r="H20" s="1292"/>
      <c r="I20" s="1834"/>
      <c r="J20" s="1292"/>
      <c r="K20" s="1835"/>
      <c r="L20" s="1835"/>
      <c r="M20" s="1835"/>
      <c r="N20" s="1835"/>
      <c r="O20" s="1835"/>
      <c r="P20" s="1835"/>
      <c r="Q20" s="1836"/>
      <c r="R20" s="1837"/>
    </row>
    <row r="21" spans="1:18" ht="15.75">
      <c r="A21" s="1839"/>
      <c r="B21" s="1841"/>
      <c r="C21" s="1841"/>
      <c r="D21" s="1830"/>
      <c r="E21" s="1292"/>
      <c r="F21" s="1292"/>
      <c r="G21" s="1292"/>
      <c r="H21" s="1292"/>
      <c r="I21" s="1834"/>
      <c r="J21" s="1292"/>
      <c r="K21" s="1835"/>
      <c r="L21" s="1835"/>
      <c r="M21" s="1835"/>
      <c r="N21" s="1835"/>
      <c r="O21" s="1835"/>
      <c r="P21" s="1835"/>
      <c r="Q21" s="1836"/>
      <c r="R21" s="1837"/>
    </row>
    <row r="22" spans="1:18" ht="15.75">
      <c r="A22" s="1842"/>
      <c r="B22" s="1838"/>
      <c r="C22" s="1841"/>
      <c r="D22" s="1830"/>
      <c r="E22" s="1292"/>
      <c r="F22" s="1292"/>
      <c r="G22" s="1292"/>
      <c r="H22" s="1292"/>
      <c r="I22" s="1834"/>
      <c r="J22" s="1292"/>
      <c r="K22" s="1835"/>
      <c r="L22" s="1835"/>
      <c r="M22" s="1835"/>
      <c r="N22" s="1835"/>
      <c r="O22" s="1835"/>
      <c r="P22" s="1835"/>
      <c r="Q22" s="1836"/>
      <c r="R22" s="1837"/>
    </row>
    <row r="23" spans="1:18" ht="15.75">
      <c r="A23" s="1842"/>
      <c r="B23" s="1838"/>
      <c r="C23" s="1830"/>
      <c r="D23" s="1830"/>
      <c r="E23" s="1292"/>
      <c r="F23" s="1292"/>
      <c r="G23" s="1292"/>
      <c r="H23" s="1292"/>
      <c r="I23" s="1834"/>
      <c r="J23" s="1292"/>
      <c r="K23" s="1835"/>
      <c r="L23" s="1835"/>
      <c r="M23" s="1835"/>
      <c r="N23" s="1835"/>
      <c r="O23" s="1835"/>
      <c r="P23" s="1835"/>
      <c r="Q23" s="1836"/>
      <c r="R23" s="1837"/>
    </row>
    <row r="24" spans="1:18" ht="15.75">
      <c r="A24" s="833" t="s">
        <v>647</v>
      </c>
      <c r="B24" s="1841"/>
      <c r="C24" s="1841"/>
      <c r="D24" s="1841"/>
      <c r="E24" s="1841"/>
      <c r="F24" s="1841"/>
      <c r="G24" s="1841"/>
      <c r="H24" s="1841"/>
      <c r="I24" s="1834"/>
      <c r="J24" s="1841"/>
      <c r="K24" s="1844"/>
      <c r="L24" s="1841"/>
      <c r="M24" s="1845"/>
      <c r="N24" s="1845"/>
      <c r="O24" s="1846"/>
      <c r="P24" s="1841"/>
      <c r="Q24" s="1836"/>
      <c r="R24" s="1847"/>
    </row>
    <row r="25" spans="1:18" ht="15.75">
      <c r="A25" s="839"/>
      <c r="B25" s="1292"/>
      <c r="C25" s="1841"/>
      <c r="D25" s="1830"/>
      <c r="E25" s="1292"/>
      <c r="F25" s="1292"/>
      <c r="G25" s="1848"/>
      <c r="H25" s="1848"/>
      <c r="I25" s="1834"/>
      <c r="J25" s="1292"/>
      <c r="K25" s="1835"/>
      <c r="L25" s="1835"/>
      <c r="M25" s="1835"/>
      <c r="N25" s="1835"/>
      <c r="O25" s="1835"/>
      <c r="P25" s="1835"/>
      <c r="Q25" s="1836"/>
      <c r="R25" s="1837"/>
    </row>
    <row r="26" spans="1:18" ht="15.75">
      <c r="A26" s="833" t="s">
        <v>1267</v>
      </c>
      <c r="B26" s="1841"/>
      <c r="C26" s="1841"/>
      <c r="D26" s="1841"/>
      <c r="E26" s="1841"/>
      <c r="F26" s="1841"/>
      <c r="G26" s="1849"/>
      <c r="H26" s="1849"/>
      <c r="I26" s="1834"/>
      <c r="J26" s="1841"/>
      <c r="K26" s="1850"/>
      <c r="L26" s="1841"/>
      <c r="M26" s="1835"/>
      <c r="N26" s="1835"/>
      <c r="O26" s="1850"/>
      <c r="P26" s="1835"/>
      <c r="Q26" s="1836"/>
      <c r="R26" s="1837"/>
    </row>
    <row r="27" spans="1:18" ht="15.75">
      <c r="A27" s="1839"/>
      <c r="B27" s="1292"/>
      <c r="C27" s="1841"/>
      <c r="D27" s="1830"/>
      <c r="E27" s="1292"/>
      <c r="F27" s="1292"/>
      <c r="G27" s="1848"/>
      <c r="H27" s="1848"/>
      <c r="I27" s="1834"/>
      <c r="J27" s="1292"/>
      <c r="K27" s="1835"/>
      <c r="L27" s="1835"/>
      <c r="M27" s="1835"/>
      <c r="N27" s="1835"/>
      <c r="O27" s="1835"/>
      <c r="P27" s="1835"/>
      <c r="Q27" s="1836"/>
      <c r="R27" s="1837"/>
    </row>
    <row r="28" spans="1:18" ht="15.75">
      <c r="A28" s="1839"/>
      <c r="B28" s="1292"/>
      <c r="C28" s="1841"/>
      <c r="D28" s="1830"/>
      <c r="E28" s="1292"/>
      <c r="F28" s="1292"/>
      <c r="G28" s="1848"/>
      <c r="H28" s="1848"/>
      <c r="I28" s="1834"/>
      <c r="J28" s="1292"/>
      <c r="K28" s="1835"/>
      <c r="L28" s="1835"/>
      <c r="M28" s="1835"/>
      <c r="N28" s="1835"/>
      <c r="O28" s="1835"/>
      <c r="P28" s="1835"/>
      <c r="Q28" s="1836"/>
      <c r="R28" s="1837"/>
    </row>
    <row r="29" spans="1:18" ht="15.75">
      <c r="A29" s="1839"/>
      <c r="B29" s="1292"/>
      <c r="C29" s="1841"/>
      <c r="D29" s="1830"/>
      <c r="E29" s="1292"/>
      <c r="F29" s="1292"/>
      <c r="G29" s="1848"/>
      <c r="H29" s="1848"/>
      <c r="I29" s="1834"/>
      <c r="J29" s="1292"/>
      <c r="K29" s="1835"/>
      <c r="L29" s="1835"/>
      <c r="M29" s="1835"/>
      <c r="N29" s="1835"/>
      <c r="O29" s="1835"/>
      <c r="P29" s="1835"/>
      <c r="Q29" s="1836"/>
      <c r="R29" s="1837"/>
    </row>
    <row r="30" spans="1:18" ht="15.75">
      <c r="A30" s="1839"/>
      <c r="B30" s="1292"/>
      <c r="C30" s="1841"/>
      <c r="D30" s="1830"/>
      <c r="E30" s="1292"/>
      <c r="F30" s="1292"/>
      <c r="G30" s="1848"/>
      <c r="H30" s="1848"/>
      <c r="I30" s="1834"/>
      <c r="J30" s="1292"/>
      <c r="K30" s="1835"/>
      <c r="L30" s="1835"/>
      <c r="M30" s="1835"/>
      <c r="N30" s="1835"/>
      <c r="O30" s="1835"/>
      <c r="P30" s="1835"/>
      <c r="Q30" s="1836"/>
      <c r="R30" s="1837"/>
    </row>
    <row r="31" spans="1:18" ht="15.75">
      <c r="A31" s="1839"/>
      <c r="B31" s="1838"/>
      <c r="C31" s="1841"/>
      <c r="D31" s="1830"/>
      <c r="E31" s="1292"/>
      <c r="F31" s="1292"/>
      <c r="G31" s="1848"/>
      <c r="H31" s="1848"/>
      <c r="I31" s="1834"/>
      <c r="J31" s="1292"/>
      <c r="K31" s="1835"/>
      <c r="L31" s="1835"/>
      <c r="M31" s="1835"/>
      <c r="N31" s="1835"/>
      <c r="O31" s="1835"/>
      <c r="P31" s="1835"/>
      <c r="Q31" s="1836"/>
      <c r="R31" s="1837"/>
    </row>
    <row r="32" spans="1:18" ht="15.75">
      <c r="A32" s="1839"/>
      <c r="B32" s="1838"/>
      <c r="C32" s="1841"/>
      <c r="D32" s="1830"/>
      <c r="E32" s="1292"/>
      <c r="F32" s="1292"/>
      <c r="G32" s="1848"/>
      <c r="H32" s="1848"/>
      <c r="I32" s="1834"/>
      <c r="J32" s="1292"/>
      <c r="K32" s="1835"/>
      <c r="L32" s="1835"/>
      <c r="M32" s="1835"/>
      <c r="N32" s="1835"/>
      <c r="O32" s="1835"/>
      <c r="P32" s="1835"/>
      <c r="Q32" s="1836"/>
      <c r="R32" s="1837"/>
    </row>
    <row r="33" spans="1:18" ht="15.75">
      <c r="A33" s="1839"/>
      <c r="B33" s="1838"/>
      <c r="C33" s="1841"/>
      <c r="D33" s="1830"/>
      <c r="E33" s="1292"/>
      <c r="F33" s="1292"/>
      <c r="G33" s="1848"/>
      <c r="H33" s="1848"/>
      <c r="I33" s="1834"/>
      <c r="J33" s="1292"/>
      <c r="K33" s="1835"/>
      <c r="L33" s="1835"/>
      <c r="M33" s="1835"/>
      <c r="N33" s="1835"/>
      <c r="O33" s="1835"/>
      <c r="P33" s="1835"/>
      <c r="Q33" s="1836"/>
      <c r="R33" s="1837"/>
    </row>
    <row r="34" spans="1:18" ht="15.75">
      <c r="A34" s="1839"/>
      <c r="B34" s="1838"/>
      <c r="C34" s="1841"/>
      <c r="D34" s="1830"/>
      <c r="E34" s="1292"/>
      <c r="F34" s="1292"/>
      <c r="G34" s="1848"/>
      <c r="H34" s="1848"/>
      <c r="I34" s="1834"/>
      <c r="J34" s="1292"/>
      <c r="K34" s="1835"/>
      <c r="L34" s="1835"/>
      <c r="M34" s="1835"/>
      <c r="N34" s="1835"/>
      <c r="O34" s="1835"/>
      <c r="P34" s="1835"/>
      <c r="Q34" s="1836"/>
      <c r="R34" s="1837"/>
    </row>
    <row r="35" spans="1:18" ht="15.75">
      <c r="A35" s="1839"/>
      <c r="B35" s="1838"/>
      <c r="C35" s="1841"/>
      <c r="D35" s="1830"/>
      <c r="E35" s="1292"/>
      <c r="F35" s="1292"/>
      <c r="G35" s="1848"/>
      <c r="H35" s="1848"/>
      <c r="I35" s="1834"/>
      <c r="J35" s="1292"/>
      <c r="K35" s="1835"/>
      <c r="L35" s="1835"/>
      <c r="M35" s="1835"/>
      <c r="N35" s="1835"/>
      <c r="O35" s="1835"/>
      <c r="P35" s="1835"/>
      <c r="Q35" s="1836"/>
      <c r="R35" s="1837"/>
    </row>
    <row r="36" spans="1:18" ht="15.75">
      <c r="A36" s="839"/>
      <c r="B36" s="1838"/>
      <c r="C36" s="1841"/>
      <c r="D36" s="1830"/>
      <c r="E36" s="1292"/>
      <c r="F36" s="1292"/>
      <c r="G36" s="1848"/>
      <c r="H36" s="1848"/>
      <c r="I36" s="1834"/>
      <c r="J36" s="1292"/>
      <c r="K36" s="1835"/>
      <c r="L36" s="1835"/>
      <c r="M36" s="1835"/>
      <c r="N36" s="1835"/>
      <c r="O36" s="1835"/>
      <c r="P36" s="1835"/>
      <c r="Q36" s="1836"/>
      <c r="R36" s="1837"/>
    </row>
    <row r="37" spans="1:18" ht="15.75">
      <c r="A37" s="1852" t="s">
        <v>1275</v>
      </c>
      <c r="B37" s="1841"/>
      <c r="C37" s="1841"/>
      <c r="D37" s="1841"/>
      <c r="E37" s="1841"/>
      <c r="F37" s="1841"/>
      <c r="G37" s="1849"/>
      <c r="H37" s="1849"/>
      <c r="I37" s="1841"/>
      <c r="J37" s="1841"/>
      <c r="K37" s="1850"/>
      <c r="L37" s="1841"/>
      <c r="M37" s="1853"/>
      <c r="N37" s="1854"/>
      <c r="O37" s="1850"/>
      <c r="P37" s="1841"/>
      <c r="Q37" s="1836"/>
      <c r="R37" s="1855">
        <f>SUM(R13:R36)</f>
        <v>0</v>
      </c>
    </row>
    <row r="38" spans="1:18" ht="15.75">
      <c r="A38" s="1856"/>
      <c r="B38" s="1838"/>
      <c r="C38" s="1841"/>
      <c r="D38" s="1841"/>
      <c r="E38" s="1841"/>
      <c r="F38" s="1841"/>
      <c r="G38" s="1841"/>
      <c r="H38" s="1841"/>
      <c r="I38" s="1841"/>
      <c r="J38" s="1292"/>
      <c r="K38" s="1835"/>
      <c r="L38" s="1835"/>
      <c r="M38" s="1853"/>
      <c r="N38" s="1854"/>
      <c r="O38" s="1850"/>
      <c r="P38" s="1841"/>
      <c r="Q38" s="1836"/>
      <c r="R38" s="1837"/>
    </row>
    <row r="39" spans="1:18" ht="15.75">
      <c r="A39" s="1856"/>
      <c r="B39" s="1838"/>
      <c r="C39" s="1841"/>
      <c r="D39" s="1841"/>
      <c r="E39" s="1841"/>
      <c r="F39" s="1841"/>
      <c r="G39" s="1841"/>
      <c r="H39" s="1841"/>
      <c r="I39" s="1841"/>
      <c r="J39" s="1292"/>
      <c r="K39" s="1835"/>
      <c r="L39" s="1835"/>
      <c r="M39" s="1853"/>
      <c r="N39" s="1854"/>
      <c r="O39" s="1850"/>
      <c r="P39" s="1841"/>
      <c r="Q39" s="1836"/>
      <c r="R39" s="1837"/>
    </row>
    <row r="40" spans="1:18" ht="15.75">
      <c r="A40" s="1856"/>
      <c r="B40" s="1838"/>
      <c r="C40" s="1841"/>
      <c r="D40" s="1841"/>
      <c r="E40" s="1841"/>
      <c r="F40" s="1841"/>
      <c r="G40" s="1841"/>
      <c r="H40" s="1841"/>
      <c r="I40" s="1841"/>
      <c r="J40" s="1292"/>
      <c r="K40" s="1835"/>
      <c r="L40" s="1835"/>
      <c r="M40" s="1853"/>
      <c r="N40" s="1854"/>
      <c r="O40" s="1850"/>
      <c r="P40" s="1841"/>
      <c r="Q40" s="1836"/>
      <c r="R40" s="1837"/>
    </row>
    <row r="41" spans="1:18" ht="15.75">
      <c r="A41" s="864"/>
      <c r="B41" s="1838"/>
      <c r="C41" s="1841"/>
      <c r="D41" s="1841"/>
      <c r="E41" s="1841"/>
      <c r="F41" s="1841"/>
      <c r="G41" s="1841"/>
      <c r="H41" s="1841"/>
      <c r="I41" s="1841"/>
      <c r="J41" s="1292"/>
      <c r="K41" s="1835"/>
      <c r="L41" s="1835"/>
      <c r="M41" s="1853"/>
      <c r="N41" s="1854"/>
      <c r="O41" s="1850"/>
      <c r="P41" s="1841"/>
      <c r="Q41" s="1836"/>
      <c r="R41" s="1837"/>
    </row>
    <row r="42" spans="1:18" ht="15.75">
      <c r="A42" s="839"/>
      <c r="B42" s="1838"/>
      <c r="C42" s="1841"/>
      <c r="D42" s="1841"/>
      <c r="E42" s="1841"/>
      <c r="F42" s="1841"/>
      <c r="G42" s="1841"/>
      <c r="H42" s="1841"/>
      <c r="I42" s="1841"/>
      <c r="J42" s="1292"/>
      <c r="K42" s="1835"/>
      <c r="L42" s="1835"/>
      <c r="M42" s="1853"/>
      <c r="N42" s="1854"/>
      <c r="O42" s="1850"/>
      <c r="P42" s="1841"/>
      <c r="Q42" s="1836"/>
      <c r="R42" s="1837"/>
    </row>
    <row r="43" spans="1:18" ht="15.75">
      <c r="A43" s="865" t="s">
        <v>631</v>
      </c>
      <c r="B43" s="1841"/>
      <c r="C43" s="1841"/>
      <c r="D43" s="1841"/>
      <c r="E43" s="1841"/>
      <c r="F43" s="1841"/>
      <c r="G43" s="1841"/>
      <c r="H43" s="1841"/>
      <c r="I43" s="1841"/>
      <c r="J43" s="1841"/>
      <c r="K43" s="1844"/>
      <c r="L43" s="1841"/>
      <c r="M43" s="1853"/>
      <c r="N43" s="1854"/>
      <c r="O43" s="1850"/>
      <c r="P43" s="1841"/>
      <c r="Q43" s="1836"/>
      <c r="R43" s="1855">
        <f>SUM(R38:R42)</f>
        <v>0</v>
      </c>
    </row>
    <row r="44" spans="1:18" ht="15.75">
      <c r="A44" s="866" t="s">
        <v>632</v>
      </c>
      <c r="B44" s="1841"/>
      <c r="C44" s="1841"/>
      <c r="D44" s="1841"/>
      <c r="E44" s="1841"/>
      <c r="F44" s="1841"/>
      <c r="G44" s="1841"/>
      <c r="H44" s="1841"/>
      <c r="I44" s="1841"/>
      <c r="J44" s="1841"/>
      <c r="K44" s="1844"/>
      <c r="L44" s="1841"/>
      <c r="M44" s="1853"/>
      <c r="N44" s="1854"/>
      <c r="O44" s="1850"/>
      <c r="P44" s="1841"/>
      <c r="Q44" s="1836"/>
      <c r="R44" s="1855"/>
    </row>
    <row r="45" spans="1:18" ht="15.75">
      <c r="A45" s="868"/>
      <c r="B45" s="1838"/>
      <c r="C45" s="1841"/>
      <c r="D45" s="1841"/>
      <c r="E45" s="1292"/>
      <c r="F45" s="1292"/>
      <c r="G45" s="1292"/>
      <c r="H45" s="1292"/>
      <c r="I45" s="1834"/>
      <c r="J45" s="1292"/>
      <c r="K45" s="1835"/>
      <c r="L45" s="1835"/>
      <c r="M45" s="1835"/>
      <c r="N45" s="1835"/>
      <c r="O45" s="1835"/>
      <c r="P45" s="1835"/>
      <c r="Q45" s="1836"/>
      <c r="R45" s="1837"/>
    </row>
    <row r="46" spans="1:18" ht="15.75">
      <c r="A46" s="868"/>
      <c r="B46" s="1838"/>
      <c r="C46" s="1841"/>
      <c r="D46" s="1841"/>
      <c r="E46" s="1292"/>
      <c r="F46" s="1292"/>
      <c r="G46" s="1292"/>
      <c r="H46" s="1292"/>
      <c r="I46" s="1834"/>
      <c r="J46" s="1292"/>
      <c r="K46" s="1835"/>
      <c r="L46" s="1835"/>
      <c r="M46" s="1835"/>
      <c r="N46" s="1835"/>
      <c r="O46" s="1835"/>
      <c r="P46" s="1835"/>
      <c r="Q46" s="1836"/>
      <c r="R46" s="1837"/>
    </row>
    <row r="47" spans="1:18" ht="15.75">
      <c r="A47" s="868"/>
      <c r="B47" s="1838"/>
      <c r="C47" s="1841"/>
      <c r="D47" s="1841"/>
      <c r="E47" s="1292"/>
      <c r="F47" s="1292"/>
      <c r="G47" s="1292"/>
      <c r="H47" s="1292"/>
      <c r="I47" s="1834"/>
      <c r="J47" s="1292"/>
      <c r="K47" s="1835"/>
      <c r="L47" s="1835"/>
      <c r="M47" s="1835"/>
      <c r="N47" s="1835"/>
      <c r="O47" s="1835"/>
      <c r="P47" s="1835"/>
      <c r="Q47" s="1836"/>
      <c r="R47" s="1837"/>
    </row>
    <row r="48" spans="1:18" ht="15.75">
      <c r="A48" s="868"/>
      <c r="B48" s="1838"/>
      <c r="C48" s="1841"/>
      <c r="D48" s="1841"/>
      <c r="E48" s="1292"/>
      <c r="F48" s="1292"/>
      <c r="G48" s="1292"/>
      <c r="H48" s="1292"/>
      <c r="I48" s="1841"/>
      <c r="J48" s="1292"/>
      <c r="K48" s="1835"/>
      <c r="L48" s="1835"/>
      <c r="M48" s="1835"/>
      <c r="N48" s="1835"/>
      <c r="O48" s="1835"/>
      <c r="P48" s="1835"/>
      <c r="Q48" s="1836"/>
      <c r="R48" s="1837"/>
    </row>
    <row r="49" spans="1:18" ht="15.75">
      <c r="A49" s="868"/>
      <c r="B49" s="1838"/>
      <c r="C49" s="1841"/>
      <c r="D49" s="1841"/>
      <c r="E49" s="1292"/>
      <c r="F49" s="1292"/>
      <c r="G49" s="1292"/>
      <c r="H49" s="1292"/>
      <c r="I49" s="1841"/>
      <c r="J49" s="1292"/>
      <c r="K49" s="1835"/>
      <c r="L49" s="1835"/>
      <c r="M49" s="1835"/>
      <c r="N49" s="1835"/>
      <c r="O49" s="1835"/>
      <c r="P49" s="1835"/>
      <c r="Q49" s="1836"/>
      <c r="R49" s="1837"/>
    </row>
    <row r="50" spans="1:18" ht="15.75">
      <c r="A50" s="868"/>
      <c r="B50" s="1838"/>
      <c r="C50" s="1841"/>
      <c r="D50" s="1841"/>
      <c r="E50" s="1292"/>
      <c r="F50" s="1292"/>
      <c r="G50" s="1292"/>
      <c r="H50" s="1292"/>
      <c r="I50" s="1834"/>
      <c r="J50" s="1292"/>
      <c r="K50" s="1835"/>
      <c r="L50" s="1835"/>
      <c r="M50" s="1835"/>
      <c r="N50" s="1835"/>
      <c r="O50" s="1835"/>
      <c r="P50" s="1835"/>
      <c r="Q50" s="1836"/>
      <c r="R50" s="1837"/>
    </row>
    <row r="51" spans="1:18" ht="15.75">
      <c r="A51" s="868"/>
      <c r="B51" s="1838"/>
      <c r="C51" s="1841"/>
      <c r="D51" s="1841"/>
      <c r="E51" s="1292"/>
      <c r="F51" s="1292"/>
      <c r="G51" s="1292"/>
      <c r="H51" s="1292"/>
      <c r="I51" s="1834"/>
      <c r="J51" s="1292"/>
      <c r="K51" s="1835"/>
      <c r="L51" s="1835"/>
      <c r="M51" s="1835"/>
      <c r="N51" s="1835"/>
      <c r="O51" s="1835"/>
      <c r="P51" s="1835"/>
      <c r="Q51" s="1836"/>
      <c r="R51" s="1837"/>
    </row>
    <row r="52" spans="1:18" ht="15.75">
      <c r="A52" s="868"/>
      <c r="B52" s="1838"/>
      <c r="C52" s="1830"/>
      <c r="D52" s="1858"/>
      <c r="E52" s="1292"/>
      <c r="F52" s="1292"/>
      <c r="G52" s="1292"/>
      <c r="H52" s="1292"/>
      <c r="I52" s="1834"/>
      <c r="J52" s="1292"/>
      <c r="K52" s="1835"/>
      <c r="L52" s="1835"/>
      <c r="M52" s="1835"/>
      <c r="N52" s="1835"/>
      <c r="O52" s="1835"/>
      <c r="P52" s="1835"/>
      <c r="Q52" s="1836"/>
      <c r="R52" s="1837"/>
    </row>
    <row r="53" spans="1:18" ht="15.75">
      <c r="A53" s="868"/>
      <c r="B53" s="1838"/>
      <c r="C53" s="1841"/>
      <c r="D53" s="1841"/>
      <c r="E53" s="1292"/>
      <c r="F53" s="1292"/>
      <c r="G53" s="1292"/>
      <c r="H53" s="1292"/>
      <c r="I53" s="1834"/>
      <c r="J53" s="1292"/>
      <c r="K53" s="1835"/>
      <c r="L53" s="1835"/>
      <c r="M53" s="1835"/>
      <c r="N53" s="1835"/>
      <c r="O53" s="1835"/>
      <c r="P53" s="1835"/>
      <c r="Q53" s="1836"/>
      <c r="R53" s="1837"/>
    </row>
    <row r="54" spans="1:18" ht="15.75">
      <c r="A54" s="868"/>
      <c r="B54" s="1838"/>
      <c r="C54" s="1841"/>
      <c r="D54" s="1841"/>
      <c r="E54" s="1292"/>
      <c r="F54" s="1292"/>
      <c r="G54" s="1292"/>
      <c r="H54" s="1292"/>
      <c r="I54" s="1834"/>
      <c r="J54" s="1292"/>
      <c r="K54" s="1835"/>
      <c r="L54" s="1835"/>
      <c r="M54" s="1835"/>
      <c r="N54" s="1835"/>
      <c r="O54" s="1835"/>
      <c r="P54" s="1835"/>
      <c r="Q54" s="1836"/>
      <c r="R54" s="1837"/>
    </row>
    <row r="55" spans="1:18" ht="15.75">
      <c r="A55" s="865" t="s">
        <v>67</v>
      </c>
      <c r="B55" s="1841"/>
      <c r="C55" s="1841"/>
      <c r="D55" s="1841"/>
      <c r="E55" s="1292"/>
      <c r="F55" s="1292"/>
      <c r="G55" s="1292"/>
      <c r="H55" s="1292"/>
      <c r="I55" s="1834"/>
      <c r="J55" s="1292"/>
      <c r="K55" s="1835"/>
      <c r="L55" s="1835"/>
      <c r="M55" s="1835"/>
      <c r="N55" s="1835"/>
      <c r="O55" s="1835"/>
      <c r="P55" s="1835"/>
      <c r="Q55" s="1836"/>
      <c r="R55" s="1855">
        <f>SUM(R45:R54)</f>
        <v>0</v>
      </c>
    </row>
    <row r="56" spans="1:18" ht="15.75">
      <c r="A56" s="839" t="s">
        <v>643</v>
      </c>
      <c r="B56" s="1841"/>
      <c r="C56" s="1841"/>
      <c r="D56" s="1841"/>
      <c r="E56" s="1841"/>
      <c r="F56" s="1841"/>
      <c r="G56" s="1841"/>
      <c r="H56" s="1841"/>
      <c r="I56" s="1841"/>
      <c r="J56" s="1841"/>
      <c r="K56" s="1859"/>
      <c r="L56" s="1841"/>
      <c r="M56" s="1845"/>
      <c r="N56" s="1860"/>
      <c r="O56" s="1860"/>
      <c r="P56" s="1841"/>
      <c r="Q56" s="1836"/>
      <c r="R56" s="1855"/>
    </row>
    <row r="57" spans="1:18" ht="15.75">
      <c r="A57" s="839" t="s">
        <v>1268</v>
      </c>
      <c r="B57" s="1841"/>
      <c r="C57" s="1841"/>
      <c r="D57" s="1841"/>
      <c r="E57" s="1841"/>
      <c r="F57" s="1841"/>
      <c r="G57" s="1841"/>
      <c r="H57" s="1841"/>
      <c r="I57" s="1841"/>
      <c r="J57" s="1841"/>
      <c r="K57" s="1859"/>
      <c r="L57" s="1841"/>
      <c r="M57" s="1845"/>
      <c r="N57" s="1860"/>
      <c r="O57" s="1860"/>
      <c r="P57" s="1841"/>
      <c r="Q57" s="1836"/>
      <c r="R57" s="1855"/>
    </row>
    <row r="58" spans="1:18" ht="15.75">
      <c r="A58" s="839" t="s">
        <v>1269</v>
      </c>
      <c r="B58" s="1862"/>
      <c r="C58" s="1862"/>
      <c r="D58" s="1862"/>
      <c r="E58" s="1862"/>
      <c r="F58" s="1862"/>
      <c r="G58" s="1862"/>
      <c r="H58" s="1862"/>
      <c r="I58" s="1862"/>
      <c r="J58" s="1862"/>
      <c r="K58" s="1863"/>
      <c r="L58" s="1862"/>
      <c r="M58" s="1864"/>
      <c r="N58" s="1865"/>
      <c r="O58" s="1865"/>
      <c r="P58" s="1862"/>
      <c r="Q58" s="1866"/>
      <c r="R58" s="1855"/>
    </row>
    <row r="59" spans="1:18" ht="15.75">
      <c r="A59" s="1868" t="s">
        <v>67</v>
      </c>
      <c r="B59" s="1862"/>
      <c r="C59" s="1862"/>
      <c r="D59" s="1862"/>
      <c r="E59" s="1862"/>
      <c r="F59" s="1862"/>
      <c r="G59" s="1862"/>
      <c r="H59" s="1862"/>
      <c r="I59" s="1862"/>
      <c r="J59" s="1862"/>
      <c r="K59" s="1863"/>
      <c r="L59" s="1862"/>
      <c r="M59" s="1864"/>
      <c r="N59" s="1865"/>
      <c r="O59" s="1865"/>
      <c r="P59" s="1862"/>
      <c r="Q59" s="1866"/>
      <c r="R59" s="1855">
        <f>R37+R43+R55+R56+R57+R58</f>
        <v>0</v>
      </c>
    </row>
    <row r="60" spans="1:18" ht="15.75">
      <c r="A60" s="1869" t="s">
        <v>644</v>
      </c>
      <c r="B60" s="1862"/>
      <c r="C60" s="1862"/>
      <c r="D60" s="1862"/>
      <c r="E60" s="1862"/>
      <c r="F60" s="1862"/>
      <c r="G60" s="1862"/>
      <c r="H60" s="1862"/>
      <c r="I60" s="1862"/>
      <c r="J60" s="1292"/>
      <c r="K60" s="1835"/>
      <c r="L60" s="1835"/>
      <c r="M60" s="1864"/>
      <c r="N60" s="1865"/>
      <c r="O60" s="1865"/>
      <c r="P60" s="1862"/>
      <c r="Q60" s="1866"/>
      <c r="R60" s="1837"/>
    </row>
    <row r="61" spans="1:18" ht="15.75">
      <c r="A61" s="1869" t="s">
        <v>645</v>
      </c>
      <c r="B61" s="1870"/>
      <c r="C61" s="1870"/>
      <c r="D61" s="1870"/>
      <c r="E61" s="1870"/>
      <c r="F61" s="1870"/>
      <c r="G61" s="1870"/>
      <c r="H61" s="1870"/>
      <c r="I61" s="1870"/>
      <c r="J61" s="1292"/>
      <c r="K61" s="1835"/>
      <c r="L61" s="1835"/>
      <c r="M61" s="1871"/>
      <c r="N61" s="1871"/>
      <c r="O61" s="1872"/>
      <c r="P61" s="1870"/>
      <c r="Q61" s="1870"/>
      <c r="R61" s="1837"/>
    </row>
    <row r="62" spans="1:18" ht="15">
      <c r="A62" s="1943" t="s">
        <v>274</v>
      </c>
      <c r="B62" s="1873"/>
      <c r="C62" s="1873"/>
      <c r="D62" s="1873"/>
      <c r="E62" s="1873"/>
      <c r="F62" s="1873"/>
      <c r="G62" s="1874"/>
      <c r="H62" s="1874"/>
      <c r="I62" s="1873"/>
      <c r="J62" s="1873"/>
      <c r="K62" s="1875"/>
      <c r="L62" s="1876"/>
      <c r="M62" s="1877"/>
      <c r="N62" s="1877"/>
      <c r="O62" s="1875"/>
      <c r="P62" s="1873"/>
      <c r="Q62" s="1878"/>
      <c r="R62" s="1879"/>
    </row>
    <row r="63" spans="1:18" ht="15">
      <c r="A63" s="1943" t="s">
        <v>399</v>
      </c>
      <c r="B63" s="1873"/>
      <c r="C63" s="1873"/>
      <c r="D63" s="1873"/>
      <c r="E63" s="1873"/>
      <c r="F63" s="1873"/>
      <c r="G63" s="1874"/>
      <c r="H63" s="1874"/>
      <c r="I63" s="1876"/>
      <c r="J63" s="1880"/>
      <c r="K63" s="1875"/>
      <c r="L63" s="1876"/>
      <c r="M63" s="1877"/>
      <c r="N63" s="1877"/>
      <c r="O63" s="1875"/>
      <c r="P63" s="1873"/>
      <c r="Q63" s="1878"/>
      <c r="R63" s="1879"/>
    </row>
    <row r="64" spans="1:18" ht="15">
      <c r="A64" s="1943" t="s">
        <v>275</v>
      </c>
      <c r="B64" s="1873"/>
      <c r="C64" s="1873"/>
      <c r="D64" s="1873"/>
      <c r="E64" s="1873"/>
      <c r="F64" s="1873"/>
      <c r="G64" s="1874"/>
      <c r="H64" s="1874"/>
      <c r="I64" s="1873"/>
      <c r="J64" s="1873"/>
      <c r="K64" s="1875"/>
      <c r="L64" s="1873"/>
      <c r="M64" s="1877"/>
      <c r="N64" s="1877"/>
      <c r="O64" s="1875"/>
      <c r="P64" s="1873"/>
      <c r="Q64" s="1878"/>
      <c r="R64" s="1879"/>
    </row>
    <row r="65" spans="1:18" ht="15">
      <c r="A65" s="1943" t="s">
        <v>326</v>
      </c>
      <c r="B65" s="1873"/>
      <c r="C65" s="1873"/>
      <c r="D65" s="1873"/>
      <c r="E65" s="1873"/>
      <c r="F65" s="1873"/>
      <c r="G65" s="1874"/>
      <c r="H65" s="1874"/>
      <c r="I65" s="1873"/>
      <c r="J65" s="1873"/>
      <c r="K65" s="1875"/>
      <c r="L65" s="1873"/>
      <c r="M65" s="1877"/>
      <c r="N65" s="1877"/>
      <c r="O65" s="1875"/>
      <c r="P65" s="1873"/>
      <c r="Q65" s="1878"/>
      <c r="R65" s="1881"/>
    </row>
    <row r="66" spans="1:18" ht="15.75">
      <c r="A66" s="1868" t="s">
        <v>67</v>
      </c>
      <c r="B66" s="1870"/>
      <c r="C66" s="1870"/>
      <c r="D66" s="1870"/>
      <c r="E66" s="1870"/>
      <c r="F66" s="1870"/>
      <c r="G66" s="1870"/>
      <c r="H66" s="1870"/>
      <c r="I66" s="1870"/>
      <c r="J66" s="1870"/>
      <c r="K66" s="1871"/>
      <c r="L66" s="1870"/>
      <c r="M66" s="1871"/>
      <c r="N66" s="1871"/>
      <c r="O66" s="1872"/>
      <c r="P66" s="1870"/>
      <c r="Q66" s="1870"/>
      <c r="R66" s="1855">
        <f>SUM(R59:R65)</f>
        <v>0</v>
      </c>
    </row>
    <row r="67" spans="1:18" ht="15.75">
      <c r="A67" s="1868" t="s">
        <v>401</v>
      </c>
      <c r="B67" s="1883"/>
      <c r="C67" s="1883"/>
      <c r="D67" s="1883"/>
      <c r="E67" s="1883"/>
      <c r="F67" s="1883"/>
      <c r="G67" s="1883"/>
      <c r="H67" s="1883"/>
      <c r="I67" s="1883"/>
      <c r="J67" s="1883"/>
      <c r="K67" s="1884"/>
      <c r="L67" s="1883"/>
      <c r="M67" s="1884"/>
      <c r="N67" s="1884"/>
      <c r="O67" s="1885"/>
      <c r="P67" s="1883"/>
      <c r="Q67" s="1883"/>
      <c r="R67" s="1855">
        <f>R66*0.2</f>
        <v>0</v>
      </c>
    </row>
    <row r="68" spans="1:18" ht="16.5" thickBot="1">
      <c r="A68" s="1887" t="s">
        <v>70</v>
      </c>
      <c r="B68" s="1888"/>
      <c r="C68" s="1888"/>
      <c r="D68" s="1888"/>
      <c r="E68" s="1888"/>
      <c r="F68" s="1888"/>
      <c r="G68" s="1888"/>
      <c r="H68" s="1888"/>
      <c r="I68" s="1888"/>
      <c r="J68" s="1888"/>
      <c r="K68" s="1889"/>
      <c r="L68" s="1888"/>
      <c r="M68" s="1889"/>
      <c r="N68" s="1889"/>
      <c r="O68" s="1890"/>
      <c r="P68" s="1888"/>
      <c r="Q68" s="1888"/>
      <c r="R68" s="1891">
        <f>SUM(R66:R67)</f>
        <v>0</v>
      </c>
    </row>
    <row r="69" spans="1:18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</row>
    <row r="70" spans="1:18">
      <c r="A70" s="53"/>
      <c r="B70" s="55"/>
      <c r="C70" s="55"/>
      <c r="D70" s="53"/>
      <c r="E70" s="53"/>
      <c r="F70" s="53"/>
      <c r="G70" s="53"/>
      <c r="H70" s="53"/>
      <c r="I70" s="53"/>
    </row>
    <row r="71" spans="1: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ht="15.75">
      <c r="A72" s="2312" t="s">
        <v>415</v>
      </c>
      <c r="B72" s="2312"/>
      <c r="C72" s="2312"/>
      <c r="D72" s="2312"/>
      <c r="E72" s="2312"/>
      <c r="F72" s="2312"/>
      <c r="G72" s="2312"/>
      <c r="H72" s="2312"/>
      <c r="I72" s="2312"/>
      <c r="J72" s="2312"/>
      <c r="K72" s="2312"/>
      <c r="L72" s="2312"/>
      <c r="M72" s="2312"/>
      <c r="N72" s="2312"/>
      <c r="O72" s="2312"/>
      <c r="P72" s="2312"/>
      <c r="Q72" s="2312"/>
      <c r="R72" s="2312"/>
    </row>
    <row r="73" spans="1:18" ht="16.5" thickBot="1">
      <c r="A73" s="1915"/>
      <c r="B73" s="1915"/>
      <c r="C73" s="1915"/>
      <c r="D73" s="1915"/>
      <c r="E73" s="1915"/>
      <c r="F73" s="1915"/>
      <c r="G73" s="1915"/>
      <c r="H73" s="1915"/>
      <c r="I73" s="1915"/>
      <c r="J73" s="1915"/>
      <c r="K73" s="1915"/>
      <c r="L73" s="1915"/>
      <c r="M73" s="1915"/>
      <c r="N73" s="1915"/>
      <c r="O73" s="1915"/>
      <c r="P73" s="1915"/>
      <c r="Q73" s="1915"/>
      <c r="R73" s="1915"/>
    </row>
    <row r="74" spans="1:18" ht="17.25" thickTop="1" thickBot="1">
      <c r="A74" s="1816" t="s">
        <v>585</v>
      </c>
      <c r="B74" s="1817"/>
      <c r="C74" s="1818"/>
      <c r="D74" s="1817"/>
      <c r="E74" s="1817"/>
      <c r="F74" s="1819"/>
      <c r="G74" s="2308">
        <f>G6</f>
        <v>0</v>
      </c>
      <c r="H74" s="2309"/>
      <c r="I74" s="1819"/>
      <c r="J74" s="2308" t="s">
        <v>586</v>
      </c>
      <c r="K74" s="2309"/>
      <c r="L74" s="1819" t="s">
        <v>317</v>
      </c>
      <c r="M74" s="495">
        <f>M7</f>
        <v>0</v>
      </c>
      <c r="N74" s="1893"/>
      <c r="O74" s="1819"/>
      <c r="P74" s="1894"/>
      <c r="Q74" s="1819"/>
      <c r="R74" s="1817"/>
    </row>
    <row r="75" spans="1:18" ht="14.25" thickTop="1" thickBot="1">
      <c r="A75" s="48"/>
      <c r="B75" s="49"/>
      <c r="C75" s="49"/>
      <c r="D75" s="49"/>
      <c r="E75" s="49"/>
      <c r="F75" s="49"/>
      <c r="G75" s="49"/>
      <c r="H75" s="49"/>
      <c r="I75" s="49"/>
      <c r="J75" s="49"/>
      <c r="K75" s="50"/>
      <c r="L75" s="51"/>
      <c r="M75" s="45"/>
      <c r="N75" s="45"/>
      <c r="O75" s="46"/>
      <c r="P75" s="886">
        <f>P8</f>
        <v>0</v>
      </c>
      <c r="Q75" s="47"/>
      <c r="R75" s="887" t="s">
        <v>62</v>
      </c>
    </row>
    <row r="76" spans="1:18" ht="60">
      <c r="A76" s="2303" t="s">
        <v>55</v>
      </c>
      <c r="B76" s="1913" t="s">
        <v>56</v>
      </c>
      <c r="C76" s="1913" t="s">
        <v>167</v>
      </c>
      <c r="D76" s="1913" t="s">
        <v>168</v>
      </c>
      <c r="E76" s="2305" t="s">
        <v>170</v>
      </c>
      <c r="F76" s="2305"/>
      <c r="G76" s="2305" t="s">
        <v>171</v>
      </c>
      <c r="H76" s="2305"/>
      <c r="I76" s="1913" t="s">
        <v>174</v>
      </c>
      <c r="J76" s="1913" t="s">
        <v>100</v>
      </c>
      <c r="K76" s="1911" t="s">
        <v>158</v>
      </c>
      <c r="L76" s="1913" t="s">
        <v>57</v>
      </c>
      <c r="M76" s="1911" t="s">
        <v>169</v>
      </c>
      <c r="N76" s="1911" t="s">
        <v>71</v>
      </c>
      <c r="O76" s="31" t="s">
        <v>58</v>
      </c>
      <c r="P76" s="1913" t="s">
        <v>59</v>
      </c>
      <c r="Q76" s="1913" t="s">
        <v>60</v>
      </c>
      <c r="R76" s="32" t="s">
        <v>61</v>
      </c>
    </row>
    <row r="77" spans="1:18" ht="15">
      <c r="A77" s="2304"/>
      <c r="B77" s="34" t="s">
        <v>63</v>
      </c>
      <c r="C77" s="34" t="s">
        <v>160</v>
      </c>
      <c r="D77" s="34" t="s">
        <v>66</v>
      </c>
      <c r="E77" s="34" t="s">
        <v>808</v>
      </c>
      <c r="F77" s="34" t="s">
        <v>809</v>
      </c>
      <c r="G77" s="34" t="s">
        <v>101</v>
      </c>
      <c r="H77" s="34" t="s">
        <v>102</v>
      </c>
      <c r="I77" s="34" t="s">
        <v>161</v>
      </c>
      <c r="J77" s="34" t="s">
        <v>161</v>
      </c>
      <c r="K77" s="1912" t="s">
        <v>64</v>
      </c>
      <c r="L77" s="34" t="s">
        <v>65</v>
      </c>
      <c r="M77" s="35" t="s">
        <v>66</v>
      </c>
      <c r="N77" s="35" t="s">
        <v>66</v>
      </c>
      <c r="O77" s="36" t="s">
        <v>65</v>
      </c>
      <c r="P77" s="37" t="s">
        <v>65</v>
      </c>
      <c r="Q77" s="37" t="s">
        <v>65</v>
      </c>
      <c r="R77" s="38" t="s">
        <v>65</v>
      </c>
    </row>
    <row r="78" spans="1:18" ht="15">
      <c r="A78" s="39">
        <v>2</v>
      </c>
      <c r="B78" s="39">
        <v>3</v>
      </c>
      <c r="C78" s="39">
        <v>4</v>
      </c>
      <c r="D78" s="39">
        <v>5</v>
      </c>
      <c r="E78" s="39">
        <v>6</v>
      </c>
      <c r="F78" s="40" t="s">
        <v>91</v>
      </c>
      <c r="G78" s="40" t="s">
        <v>92</v>
      </c>
      <c r="H78" s="40" t="s">
        <v>93</v>
      </c>
      <c r="I78" s="39">
        <v>10</v>
      </c>
      <c r="J78" s="40" t="s">
        <v>94</v>
      </c>
      <c r="K78" s="39">
        <v>12</v>
      </c>
      <c r="L78" s="40" t="s">
        <v>95</v>
      </c>
      <c r="M78" s="39">
        <v>14</v>
      </c>
      <c r="N78" s="40" t="s">
        <v>96</v>
      </c>
      <c r="O78" s="40">
        <v>16</v>
      </c>
      <c r="P78" s="40" t="s">
        <v>97</v>
      </c>
      <c r="Q78" s="40" t="s">
        <v>97</v>
      </c>
      <c r="R78" s="140" t="s">
        <v>99</v>
      </c>
    </row>
    <row r="79" spans="1:18" ht="15.75">
      <c r="A79" s="833" t="s">
        <v>647</v>
      </c>
      <c r="B79" s="1841"/>
      <c r="C79" s="1841"/>
      <c r="D79" s="1841"/>
      <c r="E79" s="1841"/>
      <c r="F79" s="1841"/>
      <c r="G79" s="1841"/>
      <c r="H79" s="1841"/>
      <c r="I79" s="1834"/>
      <c r="J79" s="1841"/>
      <c r="K79" s="1844"/>
      <c r="L79" s="1841"/>
      <c r="M79" s="1845"/>
      <c r="N79" s="1845"/>
      <c r="O79" s="1846"/>
      <c r="P79" s="1841"/>
      <c r="Q79" s="1836"/>
      <c r="R79" s="1847"/>
    </row>
    <row r="80" spans="1:18" ht="15.75">
      <c r="A80" s="839" t="s">
        <v>608</v>
      </c>
      <c r="B80" s="1292">
        <v>12</v>
      </c>
      <c r="C80" s="1841"/>
      <c r="D80" s="1830">
        <f>M74</f>
        <v>0</v>
      </c>
      <c r="E80" s="1292">
        <f>E25</f>
        <v>0</v>
      </c>
      <c r="F80" s="1292">
        <f>F25</f>
        <v>0</v>
      </c>
      <c r="G80" s="1848" t="e">
        <f>D80/E80</f>
        <v>#DIV/0!</v>
      </c>
      <c r="H80" s="1848" t="e">
        <f>D80/F80</f>
        <v>#DIV/0!</v>
      </c>
      <c r="I80" s="1834">
        <v>2.75</v>
      </c>
      <c r="J80" s="1292" t="e">
        <f>(G80+H80+I80)*B80</f>
        <v>#DIV/0!</v>
      </c>
      <c r="K80" s="1835">
        <f>K13</f>
        <v>0</v>
      </c>
      <c r="L80" s="1835" t="e">
        <f>K80*J80</f>
        <v>#DIV/0!</v>
      </c>
      <c r="M80" s="1835">
        <f>D80*2</f>
        <v>0</v>
      </c>
      <c r="N80" s="1835">
        <f>M80*B80</f>
        <v>0</v>
      </c>
      <c r="O80" s="1835">
        <f>O13</f>
        <v>0</v>
      </c>
      <c r="P80" s="1835">
        <f>O80*N80</f>
        <v>0</v>
      </c>
      <c r="Q80" s="1836"/>
      <c r="R80" s="1837" t="e">
        <f>L80+P80</f>
        <v>#DIV/0!</v>
      </c>
    </row>
    <row r="81" spans="1:18" ht="15.75">
      <c r="A81" s="833" t="s">
        <v>1188</v>
      </c>
      <c r="B81" s="1841"/>
      <c r="C81" s="1841"/>
      <c r="D81" s="1841"/>
      <c r="E81" s="1841"/>
      <c r="F81" s="1841"/>
      <c r="G81" s="1849"/>
      <c r="H81" s="1849"/>
      <c r="I81" s="1834"/>
      <c r="J81" s="1841"/>
      <c r="K81" s="1850"/>
      <c r="L81" s="1841"/>
      <c r="M81" s="1835"/>
      <c r="N81" s="1835"/>
      <c r="O81" s="1850"/>
      <c r="P81" s="1835"/>
      <c r="Q81" s="1836"/>
      <c r="R81" s="1837"/>
    </row>
    <row r="82" spans="1:18" ht="15.75">
      <c r="A82" s="1839" t="s">
        <v>623</v>
      </c>
      <c r="B82" s="1292">
        <f>B27</f>
        <v>0</v>
      </c>
      <c r="C82" s="1841"/>
      <c r="D82" s="1830">
        <f>D80</f>
        <v>0</v>
      </c>
      <c r="E82" s="1292">
        <f t="shared" ref="E82:F84" si="0">E27</f>
        <v>0</v>
      </c>
      <c r="F82" s="1292">
        <f t="shared" si="0"/>
        <v>0</v>
      </c>
      <c r="G82" s="1848" t="e">
        <f t="shared" ref="G82:G89" si="1">D82/E82</f>
        <v>#DIV/0!</v>
      </c>
      <c r="H82" s="1848" t="e">
        <f t="shared" ref="H82:H89" si="2">D82/F82</f>
        <v>#DIV/0!</v>
      </c>
      <c r="I82" s="1834">
        <v>2.75</v>
      </c>
      <c r="J82" s="1292" t="e">
        <f t="shared" ref="J82:J88" si="3">(G82+H82+I82)*B82</f>
        <v>#DIV/0!</v>
      </c>
      <c r="K82" s="1835">
        <f>K80</f>
        <v>0</v>
      </c>
      <c r="L82" s="1835" t="e">
        <f t="shared" ref="L82:L89" si="4">K82*J82</f>
        <v>#DIV/0!</v>
      </c>
      <c r="M82" s="1835">
        <f t="shared" ref="M82:M90" si="5">D82*2</f>
        <v>0</v>
      </c>
      <c r="N82" s="1835">
        <f t="shared" ref="N82:N88" si="6">M82*B82</f>
        <v>0</v>
      </c>
      <c r="O82" s="1835">
        <f>O80</f>
        <v>0</v>
      </c>
      <c r="P82" s="1835">
        <f t="shared" ref="P82:P89" si="7">O82*N82</f>
        <v>0</v>
      </c>
      <c r="Q82" s="1836"/>
      <c r="R82" s="1837" t="e">
        <f t="shared" ref="R82:R89" si="8">L82+P82</f>
        <v>#DIV/0!</v>
      </c>
    </row>
    <row r="83" spans="1:18" ht="15.75">
      <c r="A83" s="1839" t="s">
        <v>624</v>
      </c>
      <c r="B83" s="1292">
        <f>B28</f>
        <v>0</v>
      </c>
      <c r="C83" s="1841"/>
      <c r="D83" s="1830">
        <f>D80</f>
        <v>0</v>
      </c>
      <c r="E83" s="1292">
        <f t="shared" si="0"/>
        <v>0</v>
      </c>
      <c r="F83" s="1292">
        <f t="shared" si="0"/>
        <v>0</v>
      </c>
      <c r="G83" s="1848" t="e">
        <f t="shared" si="1"/>
        <v>#DIV/0!</v>
      </c>
      <c r="H83" s="1848" t="e">
        <f t="shared" si="2"/>
        <v>#DIV/0!</v>
      </c>
      <c r="I83" s="1834">
        <v>2.75</v>
      </c>
      <c r="J83" s="1292" t="e">
        <f t="shared" si="3"/>
        <v>#DIV/0!</v>
      </c>
      <c r="K83" s="1835">
        <f>K14</f>
        <v>0</v>
      </c>
      <c r="L83" s="1835" t="e">
        <f t="shared" si="4"/>
        <v>#DIV/0!</v>
      </c>
      <c r="M83" s="1835">
        <f t="shared" si="5"/>
        <v>0</v>
      </c>
      <c r="N83" s="1835">
        <f t="shared" si="6"/>
        <v>0</v>
      </c>
      <c r="O83" s="1835">
        <f>O28</f>
        <v>0</v>
      </c>
      <c r="P83" s="1835">
        <f t="shared" si="7"/>
        <v>0</v>
      </c>
      <c r="Q83" s="1836"/>
      <c r="R83" s="1837" t="e">
        <f t="shared" si="8"/>
        <v>#DIV/0!</v>
      </c>
    </row>
    <row r="84" spans="1:18" ht="15.75">
      <c r="A84" s="1839" t="s">
        <v>609</v>
      </c>
      <c r="B84" s="1292">
        <v>2</v>
      </c>
      <c r="C84" s="1841"/>
      <c r="D84" s="1830">
        <f>D80</f>
        <v>0</v>
      </c>
      <c r="E84" s="1292">
        <f t="shared" si="0"/>
        <v>0</v>
      </c>
      <c r="F84" s="1292">
        <f t="shared" si="0"/>
        <v>0</v>
      </c>
      <c r="G84" s="1848" t="e">
        <f t="shared" si="1"/>
        <v>#DIV/0!</v>
      </c>
      <c r="H84" s="1848" t="e">
        <f t="shared" si="2"/>
        <v>#DIV/0!</v>
      </c>
      <c r="I84" s="1834">
        <v>0</v>
      </c>
      <c r="J84" s="1292" t="e">
        <f t="shared" si="3"/>
        <v>#DIV/0!</v>
      </c>
      <c r="K84" s="1835">
        <f>K15</f>
        <v>0</v>
      </c>
      <c r="L84" s="1835" t="e">
        <f t="shared" si="4"/>
        <v>#DIV/0!</v>
      </c>
      <c r="M84" s="1835">
        <f t="shared" si="5"/>
        <v>0</v>
      </c>
      <c r="N84" s="1835">
        <f t="shared" si="6"/>
        <v>0</v>
      </c>
      <c r="O84" s="1835">
        <f>O29</f>
        <v>0</v>
      </c>
      <c r="P84" s="1835">
        <f t="shared" si="7"/>
        <v>0</v>
      </c>
      <c r="Q84" s="1836"/>
      <c r="R84" s="1837" t="e">
        <f t="shared" si="8"/>
        <v>#DIV/0!</v>
      </c>
    </row>
    <row r="85" spans="1:18" ht="15.75">
      <c r="A85" s="1839" t="s">
        <v>611</v>
      </c>
      <c r="B85" s="1838">
        <v>1</v>
      </c>
      <c r="C85" s="1841"/>
      <c r="D85" s="1830">
        <f>D80</f>
        <v>0</v>
      </c>
      <c r="E85" s="1292">
        <f>E31</f>
        <v>0</v>
      </c>
      <c r="F85" s="1292">
        <f>F31</f>
        <v>0</v>
      </c>
      <c r="G85" s="1848" t="e">
        <f t="shared" si="1"/>
        <v>#DIV/0!</v>
      </c>
      <c r="H85" s="1848" t="e">
        <f t="shared" si="2"/>
        <v>#DIV/0!</v>
      </c>
      <c r="I85" s="1834">
        <v>0</v>
      </c>
      <c r="J85" s="1292" t="e">
        <f t="shared" si="3"/>
        <v>#DIV/0!</v>
      </c>
      <c r="K85" s="1835">
        <f t="shared" ref="K85:K88" si="9">K17</f>
        <v>0</v>
      </c>
      <c r="L85" s="1835" t="e">
        <f t="shared" si="4"/>
        <v>#DIV/0!</v>
      </c>
      <c r="M85" s="1835">
        <f t="shared" si="5"/>
        <v>0</v>
      </c>
      <c r="N85" s="1835">
        <f t="shared" si="6"/>
        <v>0</v>
      </c>
      <c r="O85" s="1835">
        <f>O31</f>
        <v>0</v>
      </c>
      <c r="P85" s="1835">
        <f t="shared" si="7"/>
        <v>0</v>
      </c>
      <c r="Q85" s="1836"/>
      <c r="R85" s="1837" t="e">
        <f t="shared" si="8"/>
        <v>#DIV/0!</v>
      </c>
    </row>
    <row r="86" spans="1:18" ht="15.75">
      <c r="A86" s="1839" t="s">
        <v>613</v>
      </c>
      <c r="B86" s="1838">
        <v>1</v>
      </c>
      <c r="C86" s="1841"/>
      <c r="D86" s="1830">
        <f>D80</f>
        <v>0</v>
      </c>
      <c r="E86" s="1292">
        <f t="shared" ref="E86:F90" si="10">E32</f>
        <v>0</v>
      </c>
      <c r="F86" s="1292">
        <f t="shared" si="10"/>
        <v>0</v>
      </c>
      <c r="G86" s="1848" t="e">
        <f t="shared" si="1"/>
        <v>#DIV/0!</v>
      </c>
      <c r="H86" s="1848" t="e">
        <f t="shared" si="2"/>
        <v>#DIV/0!</v>
      </c>
      <c r="I86" s="1834">
        <v>2.75</v>
      </c>
      <c r="J86" s="1292" t="e">
        <f t="shared" si="3"/>
        <v>#DIV/0!</v>
      </c>
      <c r="K86" s="1835">
        <f t="shared" si="9"/>
        <v>0</v>
      </c>
      <c r="L86" s="1835" t="e">
        <f t="shared" si="4"/>
        <v>#DIV/0!</v>
      </c>
      <c r="M86" s="1835">
        <f t="shared" si="5"/>
        <v>0</v>
      </c>
      <c r="N86" s="1835">
        <f t="shared" si="6"/>
        <v>0</v>
      </c>
      <c r="O86" s="1835">
        <f t="shared" ref="O86:O89" si="11">O32</f>
        <v>0</v>
      </c>
      <c r="P86" s="1835">
        <f t="shared" si="7"/>
        <v>0</v>
      </c>
      <c r="Q86" s="1836"/>
      <c r="R86" s="1837" t="e">
        <f t="shared" si="8"/>
        <v>#DIV/0!</v>
      </c>
    </row>
    <row r="87" spans="1:18" ht="15.75">
      <c r="A87" s="1839" t="s">
        <v>615</v>
      </c>
      <c r="B87" s="1838">
        <v>1</v>
      </c>
      <c r="C87" s="1841"/>
      <c r="D87" s="1841">
        <f>D80</f>
        <v>0</v>
      </c>
      <c r="E87" s="1292">
        <f t="shared" si="10"/>
        <v>0</v>
      </c>
      <c r="F87" s="1292">
        <f t="shared" si="10"/>
        <v>0</v>
      </c>
      <c r="G87" s="1848" t="e">
        <f t="shared" si="1"/>
        <v>#DIV/0!</v>
      </c>
      <c r="H87" s="1848" t="e">
        <f t="shared" si="2"/>
        <v>#DIV/0!</v>
      </c>
      <c r="I87" s="1834">
        <v>2.75</v>
      </c>
      <c r="J87" s="1292" t="e">
        <f t="shared" si="3"/>
        <v>#DIV/0!</v>
      </c>
      <c r="K87" s="1835">
        <f t="shared" si="9"/>
        <v>0</v>
      </c>
      <c r="L87" s="1835" t="e">
        <f t="shared" si="4"/>
        <v>#DIV/0!</v>
      </c>
      <c r="M87" s="1835">
        <f t="shared" si="5"/>
        <v>0</v>
      </c>
      <c r="N87" s="1835">
        <f t="shared" si="6"/>
        <v>0</v>
      </c>
      <c r="O87" s="1835">
        <f t="shared" si="11"/>
        <v>0</v>
      </c>
      <c r="P87" s="1835">
        <f t="shared" si="7"/>
        <v>0</v>
      </c>
      <c r="Q87" s="1836"/>
      <c r="R87" s="1837" t="e">
        <f t="shared" si="8"/>
        <v>#DIV/0!</v>
      </c>
    </row>
    <row r="88" spans="1:18" ht="15.75">
      <c r="A88" s="1839" t="s">
        <v>617</v>
      </c>
      <c r="B88" s="1838">
        <v>1</v>
      </c>
      <c r="C88" s="1841"/>
      <c r="D88" s="1841">
        <f>D80</f>
        <v>0</v>
      </c>
      <c r="E88" s="1292">
        <f t="shared" si="10"/>
        <v>0</v>
      </c>
      <c r="F88" s="1292">
        <f t="shared" si="10"/>
        <v>0</v>
      </c>
      <c r="G88" s="1848" t="e">
        <f t="shared" si="1"/>
        <v>#DIV/0!</v>
      </c>
      <c r="H88" s="1848" t="e">
        <f t="shared" si="2"/>
        <v>#DIV/0!</v>
      </c>
      <c r="I88" s="1834">
        <v>0</v>
      </c>
      <c r="J88" s="1292" t="e">
        <f t="shared" si="3"/>
        <v>#DIV/0!</v>
      </c>
      <c r="K88" s="1835">
        <f t="shared" si="9"/>
        <v>0</v>
      </c>
      <c r="L88" s="1835" t="e">
        <f t="shared" si="4"/>
        <v>#DIV/0!</v>
      </c>
      <c r="M88" s="1835">
        <f t="shared" si="5"/>
        <v>0</v>
      </c>
      <c r="N88" s="1835">
        <f t="shared" si="6"/>
        <v>0</v>
      </c>
      <c r="O88" s="1835">
        <f t="shared" si="11"/>
        <v>0</v>
      </c>
      <c r="P88" s="1835">
        <f t="shared" si="7"/>
        <v>0</v>
      </c>
      <c r="Q88" s="1836"/>
      <c r="R88" s="1837" t="e">
        <f t="shared" si="8"/>
        <v>#DIV/0!</v>
      </c>
    </row>
    <row r="89" spans="1:18" ht="15.75">
      <c r="A89" s="1839" t="s">
        <v>627</v>
      </c>
      <c r="B89" s="1838" t="e">
        <f>'[14]№ 8.1.8 Износ буриль.труб'!E20/10</f>
        <v>#REF!</v>
      </c>
      <c r="C89" s="1841"/>
      <c r="D89" s="1841">
        <f>D80</f>
        <v>0</v>
      </c>
      <c r="E89" s="1292">
        <f t="shared" si="10"/>
        <v>0</v>
      </c>
      <c r="F89" s="1292">
        <f t="shared" si="10"/>
        <v>0</v>
      </c>
      <c r="G89" s="1848" t="e">
        <f t="shared" si="1"/>
        <v>#DIV/0!</v>
      </c>
      <c r="H89" s="1848" t="e">
        <f t="shared" si="2"/>
        <v>#DIV/0!</v>
      </c>
      <c r="I89" s="1834">
        <v>2.75</v>
      </c>
      <c r="J89" s="1292" t="e">
        <f>(G89+H89+I89)*B89</f>
        <v>#DIV/0!</v>
      </c>
      <c r="K89" s="1835">
        <f>K23</f>
        <v>0</v>
      </c>
      <c r="L89" s="1835" t="e">
        <f t="shared" si="4"/>
        <v>#DIV/0!</v>
      </c>
      <c r="M89" s="1835">
        <f t="shared" si="5"/>
        <v>0</v>
      </c>
      <c r="N89" s="1835" t="e">
        <f>M89*B89</f>
        <v>#REF!</v>
      </c>
      <c r="O89" s="1835">
        <f t="shared" si="11"/>
        <v>0</v>
      </c>
      <c r="P89" s="1835" t="e">
        <f t="shared" si="7"/>
        <v>#REF!</v>
      </c>
      <c r="Q89" s="1836"/>
      <c r="R89" s="1837" t="e">
        <f t="shared" si="8"/>
        <v>#DIV/0!</v>
      </c>
    </row>
    <row r="90" spans="1:18" ht="15.75">
      <c r="A90" s="839" t="s">
        <v>621</v>
      </c>
      <c r="B90" s="1838">
        <f>B36</f>
        <v>0</v>
      </c>
      <c r="C90" s="1841"/>
      <c r="D90" s="1841">
        <f>D80</f>
        <v>0</v>
      </c>
      <c r="E90" s="1292">
        <f t="shared" si="10"/>
        <v>0</v>
      </c>
      <c r="F90" s="1292">
        <f t="shared" si="10"/>
        <v>0</v>
      </c>
      <c r="G90" s="1848" t="e">
        <f>D90/E90</f>
        <v>#DIV/0!</v>
      </c>
      <c r="H90" s="1848" t="e">
        <f>D90/F90</f>
        <v>#DIV/0!</v>
      </c>
      <c r="I90" s="1834">
        <v>2.75</v>
      </c>
      <c r="J90" s="1292" t="e">
        <f>(G90+H90+I90)*B90</f>
        <v>#DIV/0!</v>
      </c>
      <c r="K90" s="1835">
        <f>K80</f>
        <v>0</v>
      </c>
      <c r="L90" s="1835" t="e">
        <f>K90*J90</f>
        <v>#DIV/0!</v>
      </c>
      <c r="M90" s="1835">
        <f t="shared" si="5"/>
        <v>0</v>
      </c>
      <c r="N90" s="1835">
        <f>M90*B90</f>
        <v>0</v>
      </c>
      <c r="O90" s="1835">
        <f>O80</f>
        <v>0</v>
      </c>
      <c r="P90" s="1835">
        <f>O90*N90</f>
        <v>0</v>
      </c>
      <c r="Q90" s="1836"/>
      <c r="R90" s="1837" t="e">
        <f>L90+P90</f>
        <v>#DIV/0!</v>
      </c>
    </row>
    <row r="91" spans="1:18" ht="15.75">
      <c r="A91" s="1852" t="s">
        <v>628</v>
      </c>
      <c r="B91" s="1841"/>
      <c r="C91" s="1841"/>
      <c r="D91" s="1841"/>
      <c r="E91" s="1841"/>
      <c r="F91" s="1841"/>
      <c r="G91" s="1849"/>
      <c r="H91" s="1849"/>
      <c r="I91" s="1841"/>
      <c r="J91" s="1841"/>
      <c r="K91" s="1850"/>
      <c r="L91" s="1841"/>
      <c r="M91" s="1853"/>
      <c r="N91" s="1854"/>
      <c r="O91" s="1850"/>
      <c r="P91" s="1841"/>
      <c r="Q91" s="1836"/>
      <c r="R91" s="1855" t="e">
        <f>SUM(R69:R90)</f>
        <v>#DIV/0!</v>
      </c>
    </row>
    <row r="92" spans="1:18" ht="15.75">
      <c r="A92" s="1856" t="s">
        <v>817</v>
      </c>
      <c r="B92" s="1838">
        <v>2</v>
      </c>
      <c r="C92" s="1841"/>
      <c r="D92" s="1841"/>
      <c r="E92" s="1841"/>
      <c r="F92" s="1841"/>
      <c r="G92" s="1841"/>
      <c r="H92" s="1841"/>
      <c r="I92" s="1841"/>
      <c r="J92" s="1292">
        <f>P75*11*B92</f>
        <v>0</v>
      </c>
      <c r="K92" s="1835">
        <f>K84</f>
        <v>0</v>
      </c>
      <c r="L92" s="1835">
        <f>J92*K92</f>
        <v>0</v>
      </c>
      <c r="M92" s="1853"/>
      <c r="N92" s="1854"/>
      <c r="O92" s="1850"/>
      <c r="P92" s="1841"/>
      <c r="Q92" s="1836"/>
      <c r="R92" s="1837">
        <f>L92+P92</f>
        <v>0</v>
      </c>
    </row>
    <row r="93" spans="1:18" ht="15.75">
      <c r="A93" s="1856" t="s">
        <v>818</v>
      </c>
      <c r="B93" s="1838">
        <v>1</v>
      </c>
      <c r="C93" s="1841"/>
      <c r="D93" s="1841"/>
      <c r="E93" s="1841"/>
      <c r="F93" s="1841"/>
      <c r="G93" s="1841"/>
      <c r="H93" s="1841"/>
      <c r="I93" s="1841"/>
      <c r="J93" s="1292">
        <f>P75*11*B93</f>
        <v>0</v>
      </c>
      <c r="K93" s="1835">
        <f>K85</f>
        <v>0</v>
      </c>
      <c r="L93" s="1835">
        <f>J93*K93</f>
        <v>0</v>
      </c>
      <c r="M93" s="1853"/>
      <c r="N93" s="1854"/>
      <c r="O93" s="1850"/>
      <c r="P93" s="1841"/>
      <c r="Q93" s="1836"/>
      <c r="R93" s="1837">
        <f>L93+P93</f>
        <v>0</v>
      </c>
    </row>
    <row r="94" spans="1:18" ht="15.75">
      <c r="A94" s="1856" t="s">
        <v>817</v>
      </c>
      <c r="B94" s="1838">
        <v>2</v>
      </c>
      <c r="C94" s="1841"/>
      <c r="D94" s="1841"/>
      <c r="E94" s="1841"/>
      <c r="F94" s="1841"/>
      <c r="G94" s="1841"/>
      <c r="H94" s="1841"/>
      <c r="I94" s="1841"/>
      <c r="J94" s="1292">
        <f>P75*11*B94</f>
        <v>0</v>
      </c>
      <c r="K94" s="1835">
        <f>K92</f>
        <v>0</v>
      </c>
      <c r="L94" s="1835">
        <f>J94*K94</f>
        <v>0</v>
      </c>
      <c r="M94" s="1853"/>
      <c r="N94" s="1854"/>
      <c r="O94" s="1850"/>
      <c r="P94" s="1841"/>
      <c r="Q94" s="1836"/>
      <c r="R94" s="1837">
        <f>L94+P94</f>
        <v>0</v>
      </c>
    </row>
    <row r="95" spans="1:18" ht="15.75">
      <c r="A95" s="864" t="s">
        <v>629</v>
      </c>
      <c r="B95" s="1838">
        <v>1</v>
      </c>
      <c r="C95" s="1841"/>
      <c r="D95" s="1841"/>
      <c r="E95" s="1841"/>
      <c r="F95" s="1841"/>
      <c r="G95" s="1841"/>
      <c r="H95" s="1841"/>
      <c r="I95" s="1841"/>
      <c r="J95" s="1292">
        <f>P75*11*B96</f>
        <v>0</v>
      </c>
      <c r="K95" s="1835">
        <f>K41</f>
        <v>0</v>
      </c>
      <c r="L95" s="1835">
        <f>J95*K95</f>
        <v>0</v>
      </c>
      <c r="M95" s="1853"/>
      <c r="N95" s="1854"/>
      <c r="O95" s="1850"/>
      <c r="P95" s="1841"/>
      <c r="Q95" s="1836"/>
      <c r="R95" s="1837">
        <f>L95+P95</f>
        <v>0</v>
      </c>
    </row>
    <row r="96" spans="1:18" ht="15.75">
      <c r="A96" s="839" t="s">
        <v>630</v>
      </c>
      <c r="B96" s="1838">
        <v>1</v>
      </c>
      <c r="C96" s="1841"/>
      <c r="D96" s="1841"/>
      <c r="E96" s="1841"/>
      <c r="F96" s="1841"/>
      <c r="G96" s="1841"/>
      <c r="H96" s="1841"/>
      <c r="I96" s="1841"/>
      <c r="J96" s="1292">
        <f>P75*11*B96</f>
        <v>0</v>
      </c>
      <c r="K96" s="1835">
        <f>K42</f>
        <v>0</v>
      </c>
      <c r="L96" s="1835">
        <f>J96*K96</f>
        <v>0</v>
      </c>
      <c r="M96" s="1853"/>
      <c r="N96" s="1854"/>
      <c r="O96" s="1850"/>
      <c r="P96" s="1841"/>
      <c r="Q96" s="1836"/>
      <c r="R96" s="1837">
        <f>L96+P96</f>
        <v>0</v>
      </c>
    </row>
    <row r="97" spans="1:18" ht="15.75">
      <c r="A97" s="1868" t="s">
        <v>648</v>
      </c>
      <c r="B97" s="1838"/>
      <c r="C97" s="1841"/>
      <c r="D97" s="1841"/>
      <c r="E97" s="1841"/>
      <c r="F97" s="1841"/>
      <c r="G97" s="1841"/>
      <c r="H97" s="1841"/>
      <c r="I97" s="1841"/>
      <c r="J97" s="1292"/>
      <c r="K97" s="1835"/>
      <c r="L97" s="1835"/>
      <c r="M97" s="1853"/>
      <c r="N97" s="1854"/>
      <c r="O97" s="1850"/>
      <c r="P97" s="1841"/>
      <c r="Q97" s="1836"/>
      <c r="R97" s="1855">
        <f>SUM(R92:R96)</f>
        <v>0</v>
      </c>
    </row>
    <row r="98" spans="1:18" ht="15.75">
      <c r="A98" s="839" t="s">
        <v>643</v>
      </c>
      <c r="B98" s="1841"/>
      <c r="C98" s="1841"/>
      <c r="D98" s="1841"/>
      <c r="E98" s="1841"/>
      <c r="F98" s="1841"/>
      <c r="G98" s="1841"/>
      <c r="H98" s="1841"/>
      <c r="I98" s="1841"/>
      <c r="J98" s="1841"/>
      <c r="K98" s="1859"/>
      <c r="L98" s="1841"/>
      <c r="M98" s="1845"/>
      <c r="N98" s="1860"/>
      <c r="O98" s="1860"/>
      <c r="P98" s="1841"/>
      <c r="Q98" s="1836"/>
      <c r="R98" s="1855">
        <f>32877.12*P75</f>
        <v>0</v>
      </c>
    </row>
    <row r="99" spans="1:18" ht="15.75">
      <c r="A99" s="839" t="s">
        <v>646</v>
      </c>
      <c r="B99" s="1841"/>
      <c r="C99" s="1841"/>
      <c r="D99" s="1841"/>
      <c r="E99" s="1841"/>
      <c r="F99" s="1841"/>
      <c r="G99" s="1841"/>
      <c r="H99" s="1841"/>
      <c r="I99" s="1841"/>
      <c r="J99" s="1841"/>
      <c r="K99" s="1859"/>
      <c r="L99" s="1841"/>
      <c r="M99" s="1845"/>
      <c r="N99" s="1860"/>
      <c r="O99" s="1860"/>
      <c r="P99" s="1841"/>
      <c r="Q99" s="1836"/>
      <c r="R99" s="1855">
        <f>R98*72%</f>
        <v>0</v>
      </c>
    </row>
    <row r="100" spans="1:18" ht="15.75">
      <c r="A100" s="839" t="s">
        <v>355</v>
      </c>
      <c r="B100" s="1862"/>
      <c r="C100" s="1862"/>
      <c r="D100" s="1862"/>
      <c r="E100" s="1862"/>
      <c r="F100" s="1862"/>
      <c r="G100" s="1862"/>
      <c r="H100" s="1862"/>
      <c r="I100" s="1862"/>
      <c r="J100" s="1862"/>
      <c r="K100" s="1863"/>
      <c r="L100" s="1862"/>
      <c r="M100" s="1864"/>
      <c r="N100" s="1865"/>
      <c r="O100" s="1865"/>
      <c r="P100" s="1862"/>
      <c r="Q100" s="1866"/>
      <c r="R100" s="1855">
        <f>R98*48%</f>
        <v>0</v>
      </c>
    </row>
    <row r="101" spans="1:18" ht="15.75">
      <c r="A101" s="1868" t="s">
        <v>67</v>
      </c>
      <c r="B101" s="1862"/>
      <c r="C101" s="1862"/>
      <c r="D101" s="1862"/>
      <c r="E101" s="1862"/>
      <c r="F101" s="1862"/>
      <c r="G101" s="1862"/>
      <c r="H101" s="1862"/>
      <c r="I101" s="1862"/>
      <c r="J101" s="1862"/>
      <c r="K101" s="1863"/>
      <c r="L101" s="1862"/>
      <c r="M101" s="1864"/>
      <c r="N101" s="1865"/>
      <c r="O101" s="1865"/>
      <c r="P101" s="1862"/>
      <c r="Q101" s="1866"/>
      <c r="R101" s="1855">
        <f>SUM(R98:R100)</f>
        <v>0</v>
      </c>
    </row>
    <row r="102" spans="1:18" ht="15.75">
      <c r="A102" s="1869" t="s">
        <v>644</v>
      </c>
      <c r="B102" s="1862"/>
      <c r="C102" s="1862"/>
      <c r="D102" s="1862"/>
      <c r="E102" s="1862"/>
      <c r="F102" s="1862"/>
      <c r="G102" s="1862"/>
      <c r="H102" s="1862"/>
      <c r="I102" s="1862"/>
      <c r="J102" s="1292">
        <f>24*P75</f>
        <v>0</v>
      </c>
      <c r="K102" s="1835">
        <f>K60</f>
        <v>0</v>
      </c>
      <c r="L102" s="1835">
        <f>J102*K102</f>
        <v>0</v>
      </c>
      <c r="M102" s="1864"/>
      <c r="N102" s="1865"/>
      <c r="O102" s="1865"/>
      <c r="P102" s="1862"/>
      <c r="Q102" s="1866"/>
      <c r="R102" s="1837">
        <f>L102+P102</f>
        <v>0</v>
      </c>
    </row>
    <row r="103" spans="1:18" ht="15.75">
      <c r="A103" s="1869" t="s">
        <v>645</v>
      </c>
      <c r="B103" s="1870"/>
      <c r="C103" s="1870"/>
      <c r="D103" s="1870"/>
      <c r="E103" s="1870"/>
      <c r="F103" s="1870"/>
      <c r="G103" s="1870"/>
      <c r="H103" s="1870"/>
      <c r="I103" s="1870"/>
      <c r="J103" s="1292">
        <f>24*P75</f>
        <v>0</v>
      </c>
      <c r="K103" s="1835">
        <f>K61</f>
        <v>0</v>
      </c>
      <c r="L103" s="1835">
        <f>J103*K103</f>
        <v>0</v>
      </c>
      <c r="M103" s="1871"/>
      <c r="N103" s="1871"/>
      <c r="O103" s="1872"/>
      <c r="P103" s="1870"/>
      <c r="Q103" s="1870"/>
      <c r="R103" s="1837">
        <f>L103+P103</f>
        <v>0</v>
      </c>
    </row>
    <row r="104" spans="1:18" ht="15">
      <c r="A104" s="1166" t="s">
        <v>274</v>
      </c>
      <c r="B104" s="1873"/>
      <c r="C104" s="1873"/>
      <c r="D104" s="1873"/>
      <c r="E104" s="1873"/>
      <c r="F104" s="1873"/>
      <c r="G104" s="1874"/>
      <c r="H104" s="1874"/>
      <c r="I104" s="1873"/>
      <c r="J104" s="1873"/>
      <c r="K104" s="1875"/>
      <c r="L104" s="1876"/>
      <c r="M104" s="1877"/>
      <c r="N104" s="1877"/>
      <c r="O104" s="1875"/>
      <c r="P104" s="1873"/>
      <c r="Q104" s="1878"/>
      <c r="R104" s="1879">
        <f>SUM(L104)</f>
        <v>0</v>
      </c>
    </row>
    <row r="105" spans="1:18" ht="15">
      <c r="A105" s="1166" t="s">
        <v>399</v>
      </c>
      <c r="B105" s="1873"/>
      <c r="C105" s="1873"/>
      <c r="D105" s="1873"/>
      <c r="E105" s="1873"/>
      <c r="F105" s="1873"/>
      <c r="G105" s="1874"/>
      <c r="H105" s="1874"/>
      <c r="I105" s="1876"/>
      <c r="J105" s="1880"/>
      <c r="K105" s="1875"/>
      <c r="L105" s="1876"/>
      <c r="M105" s="1877"/>
      <c r="N105" s="1877"/>
      <c r="O105" s="1875"/>
      <c r="P105" s="1873"/>
      <c r="Q105" s="1878"/>
      <c r="R105" s="1879">
        <f>L105</f>
        <v>0</v>
      </c>
    </row>
    <row r="106" spans="1:18" ht="15">
      <c r="A106" s="1166" t="s">
        <v>275</v>
      </c>
      <c r="B106" s="1873"/>
      <c r="C106" s="1873"/>
      <c r="D106" s="1873"/>
      <c r="E106" s="1873"/>
      <c r="F106" s="1873"/>
      <c r="G106" s="1874"/>
      <c r="H106" s="1874"/>
      <c r="I106" s="1873"/>
      <c r="J106" s="1873"/>
      <c r="K106" s="1875"/>
      <c r="L106" s="1873"/>
      <c r="M106" s="1877"/>
      <c r="N106" s="1877"/>
      <c r="O106" s="1875"/>
      <c r="P106" s="1873"/>
      <c r="Q106" s="1878"/>
      <c r="R106" s="1879">
        <f>L106</f>
        <v>0</v>
      </c>
    </row>
    <row r="107" spans="1:18" ht="15">
      <c r="A107" s="1166" t="s">
        <v>326</v>
      </c>
      <c r="B107" s="1873"/>
      <c r="C107" s="1873"/>
      <c r="D107" s="1873"/>
      <c r="E107" s="1873"/>
      <c r="F107" s="1873"/>
      <c r="G107" s="1874"/>
      <c r="H107" s="1874"/>
      <c r="I107" s="1873"/>
      <c r="J107" s="1873"/>
      <c r="K107" s="1875"/>
      <c r="L107" s="1873"/>
      <c r="M107" s="1877"/>
      <c r="N107" s="1877"/>
      <c r="O107" s="1875"/>
      <c r="P107" s="1873"/>
      <c r="Q107" s="1878"/>
      <c r="R107" s="1881">
        <f>K107</f>
        <v>0</v>
      </c>
    </row>
    <row r="108" spans="1:18" ht="15.75">
      <c r="A108" s="865" t="s">
        <v>67</v>
      </c>
      <c r="B108" s="1841"/>
      <c r="C108" s="1841"/>
      <c r="D108" s="1841"/>
      <c r="E108" s="1841"/>
      <c r="F108" s="1841"/>
      <c r="G108" s="1841"/>
      <c r="H108" s="1841"/>
      <c r="I108" s="1841"/>
      <c r="J108" s="1841"/>
      <c r="K108" s="1844"/>
      <c r="L108" s="1841"/>
      <c r="M108" s="1853"/>
      <c r="N108" s="1854"/>
      <c r="O108" s="1850"/>
      <c r="P108" s="1841"/>
      <c r="Q108" s="1836"/>
      <c r="R108" s="1855" t="e">
        <f>R91+R97+R101+R102+R103+R104+R105+R106+R107</f>
        <v>#DIV/0!</v>
      </c>
    </row>
    <row r="109" spans="1:18" ht="15.75">
      <c r="A109" s="1896" t="s">
        <v>401</v>
      </c>
      <c r="B109" s="1897"/>
      <c r="C109" s="1897"/>
      <c r="D109" s="1897"/>
      <c r="E109" s="1897"/>
      <c r="F109" s="1897"/>
      <c r="G109" s="1897"/>
      <c r="H109" s="1897"/>
      <c r="I109" s="1897"/>
      <c r="J109" s="1897"/>
      <c r="K109" s="1898"/>
      <c r="L109" s="1897"/>
      <c r="M109" s="1898"/>
      <c r="N109" s="1898"/>
      <c r="O109" s="1899"/>
      <c r="P109" s="1897"/>
      <c r="Q109" s="1897"/>
      <c r="R109" s="1900" t="e">
        <f>R108*0.2</f>
        <v>#DIV/0!</v>
      </c>
    </row>
    <row r="110" spans="1:18" ht="16.5" thickBot="1">
      <c r="A110" s="1887" t="s">
        <v>70</v>
      </c>
      <c r="B110" s="1888"/>
      <c r="C110" s="1888"/>
      <c r="D110" s="1888"/>
      <c r="E110" s="1888"/>
      <c r="F110" s="1888"/>
      <c r="G110" s="1888"/>
      <c r="H110" s="1888"/>
      <c r="I110" s="1888"/>
      <c r="J110" s="1888"/>
      <c r="K110" s="1889"/>
      <c r="L110" s="1888"/>
      <c r="M110" s="1889"/>
      <c r="N110" s="1889"/>
      <c r="O110" s="1890"/>
      <c r="P110" s="1888"/>
      <c r="Q110" s="1888"/>
      <c r="R110" s="1891" t="e">
        <f>SUM(R108:R109)</f>
        <v>#DIV/0!</v>
      </c>
    </row>
    <row r="111" spans="1:18" ht="15.75">
      <c r="A111" s="1902"/>
      <c r="B111" s="1903"/>
      <c r="C111" s="1903"/>
      <c r="D111" s="1903"/>
      <c r="E111" s="1903"/>
      <c r="F111" s="1903"/>
      <c r="G111" s="1903"/>
      <c r="H111" s="1903"/>
      <c r="I111" s="1903"/>
      <c r="J111" s="1903"/>
      <c r="K111" s="1901"/>
      <c r="L111" s="1903"/>
      <c r="M111" s="1901"/>
      <c r="N111" s="1901"/>
      <c r="O111" s="1904"/>
      <c r="P111" s="1903"/>
      <c r="Q111" s="1903"/>
      <c r="R111" s="1905"/>
    </row>
    <row r="112" spans="1:18" ht="15.75">
      <c r="A112" s="1902"/>
      <c r="B112" s="1903"/>
      <c r="C112" s="1903"/>
      <c r="D112" s="1903"/>
      <c r="E112" s="1903"/>
      <c r="F112" s="1903"/>
      <c r="G112" s="1903"/>
      <c r="H112" s="1903"/>
      <c r="I112" s="1903"/>
      <c r="J112" s="1903"/>
      <c r="K112" s="1901"/>
      <c r="L112" s="1903"/>
      <c r="M112" s="1901"/>
      <c r="N112" s="1901"/>
      <c r="O112" s="1904"/>
      <c r="P112" s="1903"/>
      <c r="Q112" s="1903"/>
      <c r="R112" s="1905"/>
    </row>
    <row r="113" spans="1:18" ht="15.75">
      <c r="A113"/>
      <c r="B113" s="27"/>
      <c r="C113" s="2291"/>
      <c r="D113" s="2291"/>
      <c r="E113" s="260"/>
      <c r="F113" s="2292" t="e">
        <f>'[14]№9 площ.'!D24</f>
        <v>#REF!</v>
      </c>
      <c r="G113" s="2292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</row>
    <row r="114" spans="1:18" ht="15">
      <c r="A114"/>
      <c r="B114" s="77"/>
      <c r="C114" s="2293" t="s">
        <v>124</v>
      </c>
      <c r="D114" s="2293"/>
      <c r="E114" s="108"/>
      <c r="F114" s="2294" t="s">
        <v>127</v>
      </c>
      <c r="G114" s="2294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</row>
    <row r="115" spans="1:18">
      <c r="A115" s="53"/>
      <c r="B115" s="55"/>
      <c r="C115" s="55"/>
      <c r="D115" s="53"/>
      <c r="E115" s="53"/>
      <c r="F115" s="53"/>
      <c r="G115" s="53"/>
      <c r="H115" s="53"/>
      <c r="I115" s="53"/>
      <c r="J115" s="44"/>
      <c r="K115" s="44"/>
      <c r="L115" s="44"/>
      <c r="M115" s="44"/>
      <c r="N115" s="44"/>
      <c r="O115" s="44"/>
      <c r="P115" s="44"/>
      <c r="Q115" s="44"/>
      <c r="R115" s="44"/>
    </row>
    <row r="116" spans="1:18">
      <c r="A116" s="53"/>
      <c r="B116" s="55"/>
      <c r="C116" s="55"/>
      <c r="D116" s="53"/>
      <c r="E116" s="53"/>
      <c r="F116" s="53"/>
      <c r="G116" s="53"/>
      <c r="H116" s="53"/>
      <c r="I116" s="53"/>
      <c r="J116" s="44"/>
      <c r="K116" s="44"/>
      <c r="L116" s="44"/>
      <c r="M116" s="44"/>
      <c r="N116" s="44"/>
      <c r="O116" s="44"/>
      <c r="P116" s="44"/>
      <c r="Q116" s="44"/>
      <c r="R116" s="44"/>
    </row>
    <row r="117" spans="1:18">
      <c r="A117" s="53"/>
      <c r="B117" s="55"/>
      <c r="C117" s="55"/>
      <c r="D117" s="53"/>
      <c r="E117" s="53"/>
      <c r="F117" s="53"/>
      <c r="G117" s="53"/>
      <c r="H117" s="53"/>
      <c r="I117" s="53"/>
      <c r="J117" s="44"/>
      <c r="K117" s="44"/>
      <c r="L117" s="44"/>
      <c r="M117" s="44"/>
      <c r="N117" s="44"/>
      <c r="O117" s="44"/>
      <c r="P117" s="44"/>
      <c r="Q117" s="44"/>
      <c r="R117" s="44"/>
    </row>
    <row r="118" spans="1:18">
      <c r="J118" s="44"/>
      <c r="K118" s="44"/>
      <c r="L118" s="44"/>
      <c r="M118" s="44"/>
      <c r="N118" s="44"/>
      <c r="O118" s="44"/>
      <c r="P118" s="44"/>
      <c r="Q118" s="44"/>
      <c r="R118" s="44"/>
    </row>
    <row r="119" spans="1:18">
      <c r="J119" s="44"/>
      <c r="K119" s="44"/>
      <c r="L119" s="44"/>
      <c r="M119" s="44"/>
      <c r="N119" s="44"/>
      <c r="O119" s="44"/>
      <c r="P119" s="44"/>
      <c r="Q119" s="44"/>
      <c r="R119" s="44"/>
    </row>
  </sheetData>
  <mergeCells count="22">
    <mergeCell ref="C114:D114"/>
    <mergeCell ref="F114:G114"/>
    <mergeCell ref="G74:H74"/>
    <mergeCell ref="J74:K74"/>
    <mergeCell ref="A76:A77"/>
    <mergeCell ref="E76:F76"/>
    <mergeCell ref="G76:H76"/>
    <mergeCell ref="C113:D113"/>
    <mergeCell ref="F113:G113"/>
    <mergeCell ref="A72:R72"/>
    <mergeCell ref="A2:R2"/>
    <mergeCell ref="A3:R3"/>
    <mergeCell ref="A4:I4"/>
    <mergeCell ref="G5:H5"/>
    <mergeCell ref="J5:K5"/>
    <mergeCell ref="G6:H6"/>
    <mergeCell ref="J6:K6"/>
    <mergeCell ref="G7:H7"/>
    <mergeCell ref="J7:K7"/>
    <mergeCell ref="A9:A10"/>
    <mergeCell ref="E9:F9"/>
    <mergeCell ref="G9:H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86"/>
  <sheetViews>
    <sheetView topLeftCell="A31" zoomScaleNormal="100" workbookViewId="0">
      <selection activeCell="G72" sqref="G72"/>
    </sheetView>
  </sheetViews>
  <sheetFormatPr defaultColWidth="9.140625" defaultRowHeight="12.75"/>
  <cols>
    <col min="1" max="1" width="5.85546875" style="2" customWidth="1"/>
    <col min="2" max="2" width="61.5703125" style="1" customWidth="1"/>
    <col min="3" max="3" width="16" style="1" customWidth="1"/>
    <col min="4" max="4" width="14.7109375" style="1" customWidth="1"/>
    <col min="5" max="5" width="12.7109375" style="1" customWidth="1"/>
    <col min="6" max="6" width="13.28515625" style="1" customWidth="1"/>
    <col min="7" max="7" width="14.85546875" style="274" customWidth="1"/>
    <col min="8" max="8" width="7.42578125" style="1" customWidth="1"/>
    <col min="9" max="9" width="12.85546875" style="1" customWidth="1"/>
    <col min="10" max="19" width="7.42578125" style="1" customWidth="1"/>
    <col min="20" max="16384" width="9.140625" style="1"/>
  </cols>
  <sheetData>
    <row r="1" spans="1:15" ht="15">
      <c r="D1" s="2283" t="s">
        <v>159</v>
      </c>
      <c r="E1" s="2283"/>
      <c r="F1" s="2283"/>
      <c r="G1" s="2283"/>
    </row>
    <row r="2" spans="1:15">
      <c r="A2" s="2313" t="s">
        <v>162</v>
      </c>
      <c r="B2" s="2313"/>
      <c r="C2" s="2313"/>
      <c r="D2" s="2313"/>
      <c r="E2" s="2313"/>
      <c r="F2" s="2313"/>
      <c r="G2" s="2313"/>
    </row>
    <row r="3" spans="1:15" ht="14.25">
      <c r="A3" s="2314" t="s">
        <v>417</v>
      </c>
      <c r="B3" s="2314"/>
      <c r="C3" s="2314"/>
      <c r="D3" s="2314"/>
      <c r="E3" s="2314"/>
      <c r="F3" s="2314"/>
      <c r="G3" s="2314"/>
    </row>
    <row r="4" spans="1:15">
      <c r="A4" s="124"/>
      <c r="B4" s="124"/>
      <c r="C4" s="124"/>
      <c r="D4" s="124"/>
      <c r="E4" s="124"/>
      <c r="F4" s="124"/>
      <c r="G4" s="124"/>
    </row>
    <row r="5" spans="1:15" ht="27.6" customHeight="1">
      <c r="A5" s="2326" t="s">
        <v>595</v>
      </c>
      <c r="B5" s="2326"/>
      <c r="C5" s="829"/>
      <c r="D5" s="509"/>
      <c r="E5" s="509"/>
      <c r="F5" s="509"/>
      <c r="G5" s="125"/>
    </row>
    <row r="6" spans="1:15" ht="14.25">
      <c r="A6" s="125"/>
      <c r="B6" s="507"/>
      <c r="C6" s="228"/>
      <c r="D6" s="228"/>
      <c r="E6" s="228"/>
      <c r="F6" s="125"/>
      <c r="G6" s="125"/>
    </row>
    <row r="7" spans="1:15" s="77" customFormat="1" ht="15">
      <c r="A7" s="2322" t="s">
        <v>140</v>
      </c>
      <c r="B7" s="2322"/>
      <c r="C7" s="2323"/>
      <c r="D7" s="2323"/>
      <c r="E7" s="2323"/>
      <c r="F7" s="2323"/>
    </row>
    <row r="8" spans="1:15" s="77" customFormat="1" ht="15.75" thickBot="1">
      <c r="A8" s="2324" t="s">
        <v>139</v>
      </c>
      <c r="B8" s="2324"/>
      <c r="C8" s="2325" t="s">
        <v>143</v>
      </c>
      <c r="D8" s="2325"/>
      <c r="E8" s="2325"/>
      <c r="F8" s="2325"/>
    </row>
    <row r="9" spans="1:15" s="58" customFormat="1" ht="17.25" thickTop="1" thickBot="1">
      <c r="A9" s="2321" t="s">
        <v>396</v>
      </c>
      <c r="B9" s="2321"/>
      <c r="C9" s="388" t="s">
        <v>84</v>
      </c>
      <c r="D9" s="1135"/>
      <c r="E9" s="388"/>
      <c r="F9" s="388"/>
      <c r="G9" s="388">
        <f>'№1,6 Мобил., демоб  БУ'!N7</f>
        <v>0</v>
      </c>
    </row>
    <row r="10" spans="1:15" s="58" customFormat="1" ht="15.75" thickBot="1">
      <c r="A10" s="388"/>
      <c r="B10" s="388"/>
      <c r="C10" s="389"/>
      <c r="D10" s="388"/>
      <c r="E10" s="388"/>
      <c r="F10" s="388"/>
      <c r="G10" s="388"/>
    </row>
    <row r="11" spans="1:15" ht="13.5">
      <c r="A11" s="2330" t="s">
        <v>213</v>
      </c>
      <c r="B11" s="2332" t="s">
        <v>15</v>
      </c>
      <c r="C11" s="2332" t="s">
        <v>2</v>
      </c>
      <c r="D11" s="2336" t="s">
        <v>16</v>
      </c>
      <c r="E11" s="2337"/>
      <c r="F11" s="2332" t="s">
        <v>32</v>
      </c>
      <c r="G11" s="2334" t="s">
        <v>104</v>
      </c>
    </row>
    <row r="12" spans="1:15" ht="27">
      <c r="A12" s="2331"/>
      <c r="B12" s="2333"/>
      <c r="C12" s="2333"/>
      <c r="D12" s="59" t="s">
        <v>103</v>
      </c>
      <c r="E12" s="59" t="s">
        <v>105</v>
      </c>
      <c r="F12" s="2333"/>
      <c r="G12" s="2335"/>
    </row>
    <row r="13" spans="1:15" ht="13.5">
      <c r="A13" s="60">
        <v>1</v>
      </c>
      <c r="B13" s="59">
        <v>2</v>
      </c>
      <c r="C13" s="59">
        <v>3</v>
      </c>
      <c r="D13" s="59">
        <v>4</v>
      </c>
      <c r="E13" s="59">
        <v>5</v>
      </c>
      <c r="F13" s="59">
        <v>6</v>
      </c>
      <c r="G13" s="952">
        <v>7</v>
      </c>
    </row>
    <row r="14" spans="1:15" ht="14.25">
      <c r="A14" s="62" t="s">
        <v>4</v>
      </c>
      <c r="B14" s="2318" t="s">
        <v>53</v>
      </c>
      <c r="C14" s="2319"/>
      <c r="D14" s="2319"/>
      <c r="E14" s="2319"/>
      <c r="F14" s="2319"/>
      <c r="G14" s="2320"/>
    </row>
    <row r="15" spans="1:15" ht="15">
      <c r="A15" s="62"/>
      <c r="B15" s="133" t="s">
        <v>149</v>
      </c>
      <c r="C15" s="286"/>
      <c r="D15" s="286"/>
      <c r="E15" s="286"/>
      <c r="F15" s="286"/>
      <c r="G15" s="272"/>
    </row>
    <row r="16" spans="1:15" s="249" customFormat="1" ht="15" hidden="1">
      <c r="A16" s="186"/>
      <c r="B16" s="830"/>
      <c r="C16" s="95"/>
      <c r="D16" s="831"/>
      <c r="E16" s="247"/>
      <c r="F16" s="246"/>
      <c r="G16" s="267"/>
      <c r="N16" s="387"/>
      <c r="O16" s="387"/>
    </row>
    <row r="17" spans="1:15" s="249" customFormat="1" ht="15" hidden="1">
      <c r="A17" s="186"/>
      <c r="B17" s="250"/>
      <c r="C17" s="95"/>
      <c r="D17" s="831"/>
      <c r="E17" s="247"/>
      <c r="F17" s="246"/>
      <c r="G17" s="267"/>
      <c r="N17" s="387"/>
      <c r="O17" s="387"/>
    </row>
    <row r="18" spans="1:15" s="249" customFormat="1" ht="15" hidden="1">
      <c r="A18" s="186"/>
      <c r="B18" s="250"/>
      <c r="C18" s="95"/>
      <c r="D18" s="831"/>
      <c r="E18" s="247"/>
      <c r="F18" s="246"/>
      <c r="G18" s="267"/>
      <c r="N18" s="387"/>
      <c r="O18" s="387"/>
    </row>
    <row r="19" spans="1:15" s="249" customFormat="1" ht="15" hidden="1">
      <c r="A19" s="186"/>
      <c r="B19" s="250"/>
      <c r="C19" s="95"/>
      <c r="D19" s="831"/>
      <c r="E19" s="247"/>
      <c r="F19" s="246"/>
      <c r="G19" s="267"/>
      <c r="N19" s="387"/>
      <c r="O19" s="387"/>
    </row>
    <row r="20" spans="1:15" s="249" customFormat="1" ht="15" hidden="1">
      <c r="A20" s="186"/>
      <c r="B20" s="250"/>
      <c r="C20" s="95"/>
      <c r="D20" s="831"/>
      <c r="E20" s="247"/>
      <c r="F20" s="246"/>
      <c r="G20" s="267"/>
      <c r="N20" s="387"/>
      <c r="O20" s="387"/>
    </row>
    <row r="21" spans="1:15" s="249" customFormat="1" ht="15" hidden="1">
      <c r="A21" s="186"/>
      <c r="B21" s="250"/>
      <c r="C21" s="95"/>
      <c r="D21" s="831"/>
      <c r="E21" s="247"/>
      <c r="F21" s="246"/>
      <c r="G21" s="267"/>
      <c r="N21" s="387"/>
      <c r="O21" s="387"/>
    </row>
    <row r="22" spans="1:15" s="249" customFormat="1" ht="15">
      <c r="A22" s="67"/>
      <c r="B22" s="65" t="s">
        <v>20</v>
      </c>
      <c r="C22" s="95"/>
      <c r="D22" s="831"/>
      <c r="E22" s="247"/>
      <c r="F22" s="246"/>
      <c r="G22" s="267"/>
      <c r="N22" s="387"/>
      <c r="O22" s="387"/>
    </row>
    <row r="23" spans="1:15" ht="15">
      <c r="A23" s="67"/>
      <c r="B23" s="122" t="s">
        <v>81</v>
      </c>
      <c r="C23" s="65"/>
      <c r="D23" s="247"/>
      <c r="E23" s="95"/>
      <c r="F23" s="248"/>
      <c r="G23" s="271">
        <f>SUM(G16:G21)</f>
        <v>0</v>
      </c>
      <c r="N23" s="387"/>
      <c r="O23" s="387"/>
    </row>
    <row r="24" spans="1:15" ht="14.25">
      <c r="A24" s="70" t="s">
        <v>5</v>
      </c>
      <c r="B24" s="2318" t="s">
        <v>89</v>
      </c>
      <c r="C24" s="2319"/>
      <c r="D24" s="2319"/>
      <c r="E24" s="2319"/>
      <c r="F24" s="2319"/>
      <c r="G24" s="2320"/>
      <c r="N24" s="387"/>
      <c r="O24" s="387"/>
    </row>
    <row r="25" spans="1:15" ht="15">
      <c r="A25" s="70"/>
      <c r="B25" s="133" t="s">
        <v>73</v>
      </c>
      <c r="C25" s="2315"/>
      <c r="D25" s="2316"/>
      <c r="E25" s="2316"/>
      <c r="F25" s="2316"/>
      <c r="G25" s="2317"/>
      <c r="N25" s="387"/>
      <c r="O25" s="387"/>
    </row>
    <row r="26" spans="1:15" ht="15">
      <c r="A26" s="67" t="s">
        <v>7</v>
      </c>
      <c r="B26" s="68"/>
      <c r="C26" s="64"/>
      <c r="D26" s="262"/>
      <c r="E26" s="65"/>
      <c r="F26" s="1072"/>
      <c r="G26" s="267"/>
      <c r="N26" s="387"/>
      <c r="O26" s="387"/>
    </row>
    <row r="27" spans="1:15" ht="15">
      <c r="A27" s="67" t="s">
        <v>6</v>
      </c>
      <c r="B27" s="68"/>
      <c r="C27" s="64"/>
      <c r="D27" s="262"/>
      <c r="E27" s="65"/>
      <c r="F27" s="246"/>
      <c r="G27" s="267"/>
      <c r="N27" s="387"/>
      <c r="O27" s="387"/>
    </row>
    <row r="28" spans="1:15" ht="15">
      <c r="A28" s="67"/>
      <c r="B28" s="65" t="s">
        <v>20</v>
      </c>
      <c r="C28" s="65"/>
      <c r="D28" s="65"/>
      <c r="E28" s="65"/>
      <c r="F28" s="65"/>
      <c r="G28" s="272"/>
      <c r="N28" s="387"/>
      <c r="O28" s="387"/>
    </row>
    <row r="29" spans="1:15" ht="15">
      <c r="A29" s="67"/>
      <c r="B29" s="121" t="s">
        <v>80</v>
      </c>
      <c r="C29" s="65"/>
      <c r="D29" s="65"/>
      <c r="E29" s="65"/>
      <c r="F29" s="65"/>
      <c r="G29" s="271">
        <f>SUM(G26:G28)</f>
        <v>0</v>
      </c>
      <c r="N29" s="387"/>
      <c r="O29" s="387"/>
    </row>
    <row r="30" spans="1:15" ht="14.25">
      <c r="A30" s="70" t="s">
        <v>21</v>
      </c>
      <c r="B30" s="2318" t="s">
        <v>17</v>
      </c>
      <c r="C30" s="2319"/>
      <c r="D30" s="2319"/>
      <c r="E30" s="2319"/>
      <c r="F30" s="2319"/>
      <c r="G30" s="2320"/>
    </row>
    <row r="31" spans="1:15" ht="24">
      <c r="A31" s="70"/>
      <c r="B31" s="133" t="s">
        <v>131</v>
      </c>
      <c r="C31" s="134" t="s">
        <v>106</v>
      </c>
      <c r="D31" s="2315"/>
      <c r="E31" s="2316"/>
      <c r="F31" s="2316"/>
      <c r="G31" s="2317"/>
    </row>
    <row r="32" spans="1:15" hidden="1">
      <c r="A32" s="611" t="s">
        <v>22</v>
      </c>
      <c r="B32" s="900"/>
      <c r="C32" s="901"/>
      <c r="D32" s="902"/>
      <c r="E32" s="831"/>
      <c r="F32" s="713"/>
      <c r="G32" s="903"/>
    </row>
    <row r="33" spans="1:7" hidden="1">
      <c r="A33" s="611" t="s">
        <v>23</v>
      </c>
      <c r="B33" s="900"/>
      <c r="C33" s="901"/>
      <c r="D33" s="902"/>
      <c r="E33" s="831"/>
      <c r="F33" s="713"/>
      <c r="G33" s="903"/>
    </row>
    <row r="34" spans="1:7" hidden="1">
      <c r="A34" s="611" t="s">
        <v>283</v>
      </c>
      <c r="B34" s="900"/>
      <c r="C34" s="901"/>
      <c r="D34" s="902"/>
      <c r="E34" s="831"/>
      <c r="F34" s="713"/>
      <c r="G34" s="903"/>
    </row>
    <row r="35" spans="1:7" hidden="1">
      <c r="A35" s="611" t="s">
        <v>284</v>
      </c>
      <c r="B35" s="900"/>
      <c r="C35" s="901"/>
      <c r="D35" s="902"/>
      <c r="E35" s="831"/>
      <c r="F35" s="713"/>
      <c r="G35" s="903"/>
    </row>
    <row r="36" spans="1:7" ht="13.5" hidden="1" customHeight="1">
      <c r="A36" s="611" t="s">
        <v>285</v>
      </c>
      <c r="B36" s="904"/>
      <c r="C36" s="831"/>
      <c r="D36" s="902"/>
      <c r="E36" s="831"/>
      <c r="F36" s="713"/>
      <c r="G36" s="903"/>
    </row>
    <row r="37" spans="1:7" hidden="1">
      <c r="A37" s="611" t="s">
        <v>286</v>
      </c>
      <c r="B37" s="900"/>
      <c r="C37" s="831"/>
      <c r="D37" s="905"/>
      <c r="E37" s="831"/>
      <c r="F37" s="713"/>
      <c r="G37" s="903"/>
    </row>
    <row r="38" spans="1:7" hidden="1">
      <c r="A38" s="611" t="s">
        <v>287</v>
      </c>
      <c r="B38" s="900"/>
      <c r="C38" s="831"/>
      <c r="D38" s="905"/>
      <c r="E38" s="831"/>
      <c r="F38" s="713"/>
      <c r="G38" s="903"/>
    </row>
    <row r="39" spans="1:7" hidden="1">
      <c r="A39" s="611" t="s">
        <v>288</v>
      </c>
      <c r="B39" s="900"/>
      <c r="C39" s="831"/>
      <c r="D39" s="902"/>
      <c r="E39" s="831"/>
      <c r="F39" s="713"/>
      <c r="G39" s="903"/>
    </row>
    <row r="40" spans="1:7" hidden="1">
      <c r="A40" s="611" t="s">
        <v>290</v>
      </c>
      <c r="B40" s="900"/>
      <c r="C40" s="831"/>
      <c r="D40" s="902"/>
      <c r="E40" s="831"/>
      <c r="F40" s="713"/>
      <c r="G40" s="903"/>
    </row>
    <row r="41" spans="1:7" hidden="1">
      <c r="A41" s="611" t="s">
        <v>291</v>
      </c>
      <c r="B41" s="900"/>
      <c r="C41" s="831"/>
      <c r="D41" s="902"/>
      <c r="E41" s="831"/>
      <c r="F41" s="713"/>
      <c r="G41" s="903"/>
    </row>
    <row r="42" spans="1:7" hidden="1">
      <c r="A42" s="611" t="s">
        <v>292</v>
      </c>
      <c r="B42" s="900"/>
      <c r="C42" s="831"/>
      <c r="D42" s="902"/>
      <c r="E42" s="831"/>
      <c r="F42" s="713"/>
      <c r="G42" s="903"/>
    </row>
    <row r="43" spans="1:7" hidden="1">
      <c r="A43" s="611" t="s">
        <v>293</v>
      </c>
      <c r="B43" s="900"/>
      <c r="C43" s="831"/>
      <c r="D43" s="902"/>
      <c r="E43" s="831"/>
      <c r="F43" s="713"/>
      <c r="G43" s="903"/>
    </row>
    <row r="44" spans="1:7" hidden="1">
      <c r="A44" s="611" t="s">
        <v>294</v>
      </c>
      <c r="B44" s="906"/>
      <c r="C44" s="831"/>
      <c r="D44" s="902"/>
      <c r="E44" s="831"/>
      <c r="F44" s="713"/>
      <c r="G44" s="903"/>
    </row>
    <row r="45" spans="1:7" hidden="1">
      <c r="A45" s="611" t="s">
        <v>295</v>
      </c>
      <c r="B45" s="906"/>
      <c r="C45" s="831"/>
      <c r="D45" s="902"/>
      <c r="E45" s="907"/>
      <c r="F45" s="713"/>
      <c r="G45" s="903"/>
    </row>
    <row r="46" spans="1:7" hidden="1">
      <c r="A46" s="611" t="s">
        <v>296</v>
      </c>
      <c r="B46" s="906"/>
      <c r="C46" s="831"/>
      <c r="D46" s="902"/>
      <c r="E46" s="907"/>
      <c r="F46" s="713"/>
      <c r="G46" s="903"/>
    </row>
    <row r="47" spans="1:7" hidden="1">
      <c r="A47" s="611" t="s">
        <v>297</v>
      </c>
      <c r="B47" s="908"/>
      <c r="C47" s="831"/>
      <c r="D47" s="902"/>
      <c r="E47" s="907"/>
      <c r="F47" s="713"/>
      <c r="G47" s="903"/>
    </row>
    <row r="48" spans="1:7" hidden="1">
      <c r="A48" s="611" t="s">
        <v>298</v>
      </c>
      <c r="B48" s="906"/>
      <c r="C48" s="831"/>
      <c r="D48" s="902"/>
      <c r="E48" s="907"/>
      <c r="F48" s="713"/>
      <c r="G48" s="903"/>
    </row>
    <row r="49" spans="1:15" hidden="1">
      <c r="A49" s="611" t="s">
        <v>652</v>
      </c>
      <c r="B49" s="906"/>
      <c r="C49" s="831"/>
      <c r="D49" s="902"/>
      <c r="E49" s="907"/>
      <c r="F49" s="713"/>
      <c r="G49" s="903"/>
    </row>
    <row r="50" spans="1:15" hidden="1">
      <c r="A50" s="611" t="s">
        <v>653</v>
      </c>
      <c r="B50" s="900"/>
      <c r="C50" s="901"/>
      <c r="D50" s="831"/>
      <c r="E50" s="831"/>
      <c r="F50" s="713"/>
      <c r="G50" s="903"/>
    </row>
    <row r="51" spans="1:15" s="380" customFormat="1" hidden="1">
      <c r="A51" s="1753" t="s">
        <v>654</v>
      </c>
      <c r="B51" s="1754"/>
      <c r="C51" s="1000"/>
      <c r="D51" s="1755"/>
      <c r="E51" s="1755"/>
      <c r="F51" s="1304"/>
      <c r="G51" s="978"/>
      <c r="I51" s="1"/>
    </row>
    <row r="52" spans="1:15" ht="9" hidden="1" customHeight="1">
      <c r="A52" s="611" t="s">
        <v>655</v>
      </c>
      <c r="B52" s="906"/>
      <c r="C52" s="831"/>
      <c r="D52" s="902"/>
      <c r="E52" s="907"/>
      <c r="F52" s="713"/>
      <c r="G52" s="903"/>
    </row>
    <row r="53" spans="1:15">
      <c r="A53" s="611"/>
      <c r="B53" s="906"/>
      <c r="C53" s="831"/>
      <c r="D53" s="902"/>
      <c r="E53" s="907"/>
      <c r="F53" s="831"/>
      <c r="G53" s="903"/>
    </row>
    <row r="54" spans="1:15" ht="15">
      <c r="A54" s="67"/>
      <c r="B54" s="121" t="s">
        <v>82</v>
      </c>
      <c r="C54" s="65"/>
      <c r="D54" s="65"/>
      <c r="E54" s="65"/>
      <c r="F54" s="610"/>
      <c r="G54" s="276">
        <f>SUM(G32:G53)</f>
        <v>0</v>
      </c>
    </row>
    <row r="55" spans="1:15" ht="14.25">
      <c r="A55" s="70" t="s">
        <v>27</v>
      </c>
      <c r="B55" s="2318" t="s">
        <v>48</v>
      </c>
      <c r="C55" s="2319"/>
      <c r="D55" s="2319"/>
      <c r="E55" s="2319"/>
      <c r="F55" s="2319"/>
      <c r="G55" s="2320"/>
      <c r="N55" s="387"/>
      <c r="O55" s="387"/>
    </row>
    <row r="56" spans="1:15" ht="24">
      <c r="A56" s="70"/>
      <c r="B56" s="133" t="s">
        <v>76</v>
      </c>
      <c r="C56" s="2315"/>
      <c r="D56" s="2316"/>
      <c r="E56" s="2316"/>
      <c r="F56" s="2316"/>
      <c r="G56" s="2317"/>
      <c r="N56" s="387"/>
      <c r="O56" s="387"/>
    </row>
    <row r="57" spans="1:15" ht="15">
      <c r="A57" s="67" t="s">
        <v>28</v>
      </c>
      <c r="B57" s="462"/>
      <c r="C57" s="95"/>
      <c r="D57" s="381"/>
      <c r="E57" s="256"/>
      <c r="F57" s="285"/>
      <c r="G57" s="356"/>
      <c r="N57" s="387"/>
      <c r="O57" s="387"/>
    </row>
    <row r="58" spans="1:15" ht="15">
      <c r="A58" s="67" t="s">
        <v>29</v>
      </c>
      <c r="B58" s="463"/>
      <c r="C58" s="255"/>
      <c r="D58" s="381"/>
      <c r="E58" s="256"/>
      <c r="F58" s="283"/>
      <c r="G58" s="267"/>
      <c r="N58" s="387"/>
      <c r="O58" s="387"/>
    </row>
    <row r="59" spans="1:15" ht="15">
      <c r="A59" s="67" t="s">
        <v>305</v>
      </c>
      <c r="B59" s="475"/>
      <c r="C59" s="255"/>
      <c r="D59" s="381"/>
      <c r="E59" s="256"/>
      <c r="F59" s="283"/>
      <c r="G59" s="267"/>
      <c r="N59" s="387"/>
      <c r="O59" s="387"/>
    </row>
    <row r="60" spans="1:15" ht="15">
      <c r="A60" s="67" t="s">
        <v>306</v>
      </c>
      <c r="B60" s="464"/>
      <c r="C60" s="255"/>
      <c r="D60" s="381"/>
      <c r="E60" s="256"/>
      <c r="F60" s="283"/>
      <c r="G60" s="267"/>
      <c r="N60" s="387"/>
      <c r="O60" s="387"/>
    </row>
    <row r="61" spans="1:15" ht="15">
      <c r="A61" s="67" t="s">
        <v>307</v>
      </c>
      <c r="B61" s="462"/>
      <c r="C61" s="95"/>
      <c r="D61" s="909"/>
      <c r="E61" s="256"/>
      <c r="F61" s="283"/>
      <c r="G61" s="356"/>
      <c r="N61" s="387"/>
      <c r="O61" s="387"/>
    </row>
    <row r="62" spans="1:15" ht="15">
      <c r="A62" s="67" t="s">
        <v>308</v>
      </c>
      <c r="B62" s="462"/>
      <c r="C62" s="95"/>
      <c r="D62" s="909"/>
      <c r="E62" s="256"/>
      <c r="F62" s="283"/>
      <c r="G62" s="356"/>
      <c r="N62" s="387"/>
      <c r="O62" s="387"/>
    </row>
    <row r="63" spans="1:15" ht="15">
      <c r="A63" s="67" t="s">
        <v>314</v>
      </c>
      <c r="B63" s="462"/>
      <c r="C63" s="95"/>
      <c r="D63" s="909"/>
      <c r="E63" s="256"/>
      <c r="F63" s="283"/>
      <c r="G63" s="356"/>
      <c r="N63" s="387"/>
      <c r="O63" s="387"/>
    </row>
    <row r="64" spans="1:15" ht="15">
      <c r="A64" s="67" t="s">
        <v>315</v>
      </c>
      <c r="B64" s="462"/>
      <c r="C64" s="95"/>
      <c r="D64" s="909"/>
      <c r="E64" s="256"/>
      <c r="F64" s="283"/>
      <c r="G64" s="356"/>
      <c r="N64" s="387"/>
      <c r="O64" s="387"/>
    </row>
    <row r="65" spans="1:15" ht="15">
      <c r="A65" s="67" t="s">
        <v>316</v>
      </c>
      <c r="B65" s="462"/>
      <c r="C65" s="255"/>
      <c r="D65" s="381"/>
      <c r="E65" s="256"/>
      <c r="F65" s="283"/>
      <c r="G65" s="267"/>
      <c r="N65" s="387"/>
      <c r="O65" s="387"/>
    </row>
    <row r="66" spans="1:15" ht="15">
      <c r="A66" s="67"/>
      <c r="B66" s="121" t="s">
        <v>83</v>
      </c>
      <c r="C66" s="65"/>
      <c r="D66" s="65"/>
      <c r="E66" s="65"/>
      <c r="F66" s="65"/>
      <c r="G66" s="276">
        <f>SUM(G57:G65)</f>
        <v>0</v>
      </c>
      <c r="N66" s="387"/>
      <c r="O66" s="387"/>
    </row>
    <row r="67" spans="1:15" s="380" customFormat="1" ht="15">
      <c r="A67" s="608" t="s">
        <v>30</v>
      </c>
      <c r="B67" s="435" t="s">
        <v>74</v>
      </c>
      <c r="C67" s="408"/>
      <c r="D67" s="399"/>
      <c r="E67" s="461"/>
      <c r="F67" s="246"/>
      <c r="G67" s="436">
        <f>ROUND(D67*F67,2)</f>
        <v>0</v>
      </c>
      <c r="N67" s="387"/>
      <c r="O67" s="387"/>
    </row>
    <row r="68" spans="1:15" ht="14.25">
      <c r="A68" s="70" t="s">
        <v>10</v>
      </c>
      <c r="B68" s="2318" t="s">
        <v>77</v>
      </c>
      <c r="C68" s="2319"/>
      <c r="D68" s="2319"/>
      <c r="E68" s="2319"/>
      <c r="F68" s="2319"/>
      <c r="G68" s="2320"/>
      <c r="N68" s="387"/>
      <c r="O68" s="387"/>
    </row>
    <row r="69" spans="1:15" ht="15">
      <c r="A69" s="67" t="s">
        <v>141</v>
      </c>
      <c r="B69" s="264"/>
      <c r="C69" s="262"/>
      <c r="D69" s="262"/>
      <c r="E69" s="263"/>
      <c r="F69" s="1132"/>
      <c r="G69" s="289"/>
      <c r="N69" s="387"/>
      <c r="O69" s="387"/>
    </row>
    <row r="70" spans="1:15" ht="15">
      <c r="A70" s="67" t="s">
        <v>142</v>
      </c>
      <c r="B70" s="265"/>
      <c r="C70" s="262"/>
      <c r="D70" s="262"/>
      <c r="E70" s="263"/>
      <c r="F70" s="1132"/>
      <c r="G70" s="289"/>
      <c r="N70" s="387"/>
      <c r="O70" s="387"/>
    </row>
    <row r="71" spans="1:15" ht="15">
      <c r="A71" s="70"/>
      <c r="B71" s="121" t="s">
        <v>86</v>
      </c>
      <c r="C71" s="64"/>
      <c r="D71" s="65"/>
      <c r="E71" s="65"/>
      <c r="F71" s="65"/>
      <c r="G71" s="271">
        <f>SUM(G69:G70)</f>
        <v>0</v>
      </c>
      <c r="N71" s="387"/>
      <c r="O71" s="387"/>
    </row>
    <row r="72" spans="1:15" ht="30">
      <c r="A72" s="71" t="s">
        <v>461</v>
      </c>
      <c r="B72" s="68" t="s">
        <v>756</v>
      </c>
      <c r="C72" s="95"/>
      <c r="D72" s="95"/>
      <c r="E72" s="252"/>
      <c r="F72" s="1222"/>
      <c r="G72" s="299"/>
      <c r="N72" s="387"/>
      <c r="O72" s="387"/>
    </row>
    <row r="73" spans="1:15" ht="15">
      <c r="A73" s="70" t="s">
        <v>12</v>
      </c>
      <c r="B73" s="63" t="s">
        <v>107</v>
      </c>
      <c r="C73" s="64"/>
      <c r="D73" s="65"/>
      <c r="E73" s="65"/>
      <c r="F73" s="65"/>
      <c r="G73" s="276">
        <f>G23+G54+G66+G67+G71+G29+G72</f>
        <v>0</v>
      </c>
      <c r="N73" s="387"/>
      <c r="O73" s="387"/>
    </row>
    <row r="74" spans="1:15" ht="15">
      <c r="A74" s="71" t="s">
        <v>13</v>
      </c>
      <c r="B74" s="288" t="s">
        <v>1278</v>
      </c>
      <c r="C74" s="64"/>
      <c r="D74" s="65"/>
      <c r="E74" s="65"/>
      <c r="F74" s="65"/>
      <c r="G74" s="271">
        <f>ROUND(G23*0.72,2)</f>
        <v>0</v>
      </c>
      <c r="N74" s="387"/>
      <c r="O74" s="387"/>
    </row>
    <row r="75" spans="1:15" ht="15">
      <c r="A75" s="70" t="s">
        <v>325</v>
      </c>
      <c r="B75" s="288" t="s">
        <v>1277</v>
      </c>
      <c r="C75" s="64"/>
      <c r="D75" s="65"/>
      <c r="E75" s="65"/>
      <c r="F75" s="65"/>
      <c r="G75" s="271">
        <f>ROUND(G23*0.48,2)</f>
        <v>0</v>
      </c>
      <c r="N75" s="387"/>
      <c r="O75" s="387"/>
    </row>
    <row r="76" spans="1:15" ht="15">
      <c r="A76" s="72"/>
      <c r="B76" s="99" t="s">
        <v>26</v>
      </c>
      <c r="C76" s="73"/>
      <c r="D76" s="73"/>
      <c r="E76" s="73"/>
      <c r="F76" s="73"/>
      <c r="G76" s="277">
        <f>ROUND((G73+G74+G75),2)</f>
        <v>0</v>
      </c>
      <c r="N76" s="387"/>
      <c r="O76" s="387"/>
    </row>
    <row r="77" spans="1:15" ht="15">
      <c r="A77" s="72"/>
      <c r="B77" s="99" t="s">
        <v>401</v>
      </c>
      <c r="C77" s="73"/>
      <c r="D77" s="73"/>
      <c r="E77" s="73"/>
      <c r="F77" s="73"/>
      <c r="G77" s="277">
        <f>ROUND((G76*0.2),2)</f>
        <v>0</v>
      </c>
      <c r="N77" s="387"/>
      <c r="O77" s="387"/>
    </row>
    <row r="78" spans="1:15" ht="15.75" thickBot="1">
      <c r="A78" s="74"/>
      <c r="B78" s="100" t="s">
        <v>31</v>
      </c>
      <c r="C78" s="75"/>
      <c r="D78" s="75"/>
      <c r="E78" s="75"/>
      <c r="F78" s="75"/>
      <c r="G78" s="278">
        <f>G76+G77</f>
        <v>0</v>
      </c>
      <c r="N78" s="387"/>
      <c r="O78" s="387"/>
    </row>
    <row r="79" spans="1:15" ht="15">
      <c r="A79" s="130"/>
      <c r="B79" s="131"/>
      <c r="C79" s="132"/>
      <c r="D79" s="132"/>
      <c r="E79" s="132"/>
      <c r="F79" s="132"/>
      <c r="G79" s="273"/>
    </row>
    <row r="80" spans="1:15" ht="15">
      <c r="A80" s="130"/>
      <c r="B80" s="131"/>
      <c r="C80" s="132"/>
      <c r="D80" s="132"/>
      <c r="E80" s="132"/>
      <c r="F80" s="132"/>
      <c r="G80" s="273"/>
      <c r="I80" s="1265"/>
    </row>
    <row r="81" spans="1:13" s="77" customFormat="1" ht="41.25" customHeight="1">
      <c r="B81" s="259" t="e">
        <f>'№1,6 Мобил., демоб  БУ'!A113</f>
        <v>#REF!</v>
      </c>
      <c r="D81" s="116"/>
      <c r="E81" s="117"/>
      <c r="F81" s="2329" t="e">
        <f>'№1,6 Мобил., демоб  БУ'!G113</f>
        <v>#REF!</v>
      </c>
      <c r="G81" s="2329"/>
      <c r="I81" s="2327"/>
      <c r="J81" s="2327"/>
      <c r="K81" s="108"/>
      <c r="L81" s="2327"/>
      <c r="M81" s="2327"/>
    </row>
    <row r="82" spans="1:13" s="77" customFormat="1" ht="15">
      <c r="B82" s="103" t="s">
        <v>126</v>
      </c>
      <c r="C82" s="10"/>
      <c r="D82" s="106" t="s">
        <v>124</v>
      </c>
      <c r="E82" s="105"/>
      <c r="F82" s="2298" t="s">
        <v>127</v>
      </c>
      <c r="G82" s="2298"/>
      <c r="I82" s="2328"/>
      <c r="J82" s="2328"/>
      <c r="K82" s="108"/>
      <c r="L82" s="2294"/>
      <c r="M82" s="2294"/>
    </row>
    <row r="83" spans="1:13">
      <c r="A83" s="61"/>
    </row>
    <row r="84" spans="1:13">
      <c r="A84" s="61"/>
    </row>
    <row r="85" spans="1:13">
      <c r="A85" s="61"/>
    </row>
    <row r="86" spans="1:13">
      <c r="A86" s="61"/>
    </row>
  </sheetData>
  <mergeCells count="29">
    <mergeCell ref="B68:G68"/>
    <mergeCell ref="D31:G31"/>
    <mergeCell ref="C56:G56"/>
    <mergeCell ref="A11:A12"/>
    <mergeCell ref="B11:B12"/>
    <mergeCell ref="B14:G14"/>
    <mergeCell ref="B24:G24"/>
    <mergeCell ref="G11:G12"/>
    <mergeCell ref="C11:C12"/>
    <mergeCell ref="B55:G55"/>
    <mergeCell ref="D11:E11"/>
    <mergeCell ref="F11:F12"/>
    <mergeCell ref="I81:J81"/>
    <mergeCell ref="L81:M81"/>
    <mergeCell ref="F82:G82"/>
    <mergeCell ref="I82:J82"/>
    <mergeCell ref="L82:M82"/>
    <mergeCell ref="F81:G81"/>
    <mergeCell ref="D1:G1"/>
    <mergeCell ref="A2:G2"/>
    <mergeCell ref="A3:G3"/>
    <mergeCell ref="C25:G25"/>
    <mergeCell ref="B30:G30"/>
    <mergeCell ref="A9:B9"/>
    <mergeCell ref="A7:B7"/>
    <mergeCell ref="C7:F7"/>
    <mergeCell ref="A8:B8"/>
    <mergeCell ref="C8:F8"/>
    <mergeCell ref="A5:B5"/>
  </mergeCells>
  <phoneticPr fontId="17" type="noConversion"/>
  <pageMargins left="1.1811023622047245" right="0.39370078740157483" top="0.39370078740157483" bottom="0.39370078740157483" header="0" footer="0"/>
  <pageSetup paperSize="9" scale="61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81"/>
  <sheetViews>
    <sheetView topLeftCell="A5" zoomScaleNormal="100" workbookViewId="0">
      <selection activeCell="P64" sqref="P64"/>
    </sheetView>
  </sheetViews>
  <sheetFormatPr defaultColWidth="9.140625" defaultRowHeight="15"/>
  <cols>
    <col min="1" max="1" width="5.85546875" style="76" customWidth="1"/>
    <col min="2" max="2" width="42.85546875" style="77" customWidth="1"/>
    <col min="3" max="3" width="9.140625" style="77"/>
    <col min="4" max="4" width="14.5703125" style="77" customWidth="1"/>
    <col min="5" max="5" width="13.28515625" style="77" customWidth="1"/>
    <col min="6" max="6" width="16.85546875" style="77" customWidth="1"/>
    <col min="7" max="12" width="0" style="77" hidden="1" customWidth="1"/>
    <col min="13" max="13" width="2.7109375" style="77" customWidth="1"/>
    <col min="14" max="14" width="9.140625" style="77"/>
    <col min="15" max="15" width="15" style="77" customWidth="1"/>
    <col min="16" max="16" width="13.140625" style="77" customWidth="1"/>
    <col min="17" max="16384" width="9.140625" style="77"/>
  </cols>
  <sheetData>
    <row r="1" spans="1:6">
      <c r="D1" s="2283" t="s">
        <v>159</v>
      </c>
      <c r="E1" s="2283"/>
    </row>
    <row r="2" spans="1:6">
      <c r="A2" s="2284" t="s">
        <v>358</v>
      </c>
      <c r="B2" s="2284"/>
      <c r="C2" s="2284"/>
      <c r="D2" s="2284"/>
      <c r="E2" s="2284"/>
    </row>
    <row r="3" spans="1:6" ht="24.75" customHeight="1" thickBot="1">
      <c r="A3" s="2314" t="s">
        <v>398</v>
      </c>
      <c r="B3" s="2314"/>
      <c r="C3" s="2314"/>
      <c r="D3" s="2314"/>
      <c r="E3" s="2314"/>
    </row>
    <row r="4" spans="1:6" s="1" customFormat="1" ht="20.25" customHeight="1" thickTop="1" thickBot="1">
      <c r="A4" s="125"/>
      <c r="B4" s="507" t="s">
        <v>388</v>
      </c>
      <c r="C4" s="2339">
        <f>'№2.1.Монтаж БУ'!C5</f>
        <v>0</v>
      </c>
      <c r="D4" s="2340"/>
      <c r="E4" s="125"/>
      <c r="F4" s="125"/>
    </row>
    <row r="5" spans="1:6" s="1" customFormat="1" ht="9.9499999999999993" customHeight="1" thickTop="1">
      <c r="A5" s="125"/>
      <c r="B5" s="507"/>
      <c r="C5" s="228"/>
      <c r="D5" s="228"/>
      <c r="E5" s="125"/>
      <c r="F5" s="125"/>
    </row>
    <row r="6" spans="1:6" s="1" customFormat="1" ht="28.5" hidden="1" customHeight="1" thickTop="1" thickBot="1">
      <c r="A6" s="125"/>
      <c r="B6" s="507" t="s">
        <v>385</v>
      </c>
      <c r="C6" s="2339">
        <f>'Комм пред '!C5</f>
        <v>0</v>
      </c>
      <c r="D6" s="2340"/>
      <c r="E6" s="125"/>
      <c r="F6" s="125"/>
    </row>
    <row r="7" spans="1:6" s="1" customFormat="1" ht="10.5" hidden="1" customHeight="1" thickTop="1" thickBot="1">
      <c r="A7" s="125"/>
      <c r="B7" s="507"/>
      <c r="C7" s="228"/>
      <c r="D7" s="125"/>
      <c r="E7" s="125"/>
      <c r="F7" s="125"/>
    </row>
    <row r="8" spans="1:6" s="1" customFormat="1" ht="21.75" hidden="1" customHeight="1" thickTop="1" thickBot="1">
      <c r="A8" s="124"/>
      <c r="B8" s="511" t="s">
        <v>386</v>
      </c>
      <c r="C8" s="2339">
        <f>'Комм пред '!C7</f>
        <v>0</v>
      </c>
      <c r="D8" s="2340"/>
      <c r="E8" s="2341"/>
      <c r="F8" s="511"/>
    </row>
    <row r="9" spans="1:6" ht="15" customHeight="1">
      <c r="A9" s="2324"/>
      <c r="B9" s="2324"/>
      <c r="C9" s="2325"/>
      <c r="D9" s="2325"/>
      <c r="E9" s="2325"/>
    </row>
    <row r="10" spans="1:6" ht="15" customHeight="1" thickBot="1">
      <c r="A10" s="479"/>
      <c r="B10" s="479"/>
      <c r="C10" s="510"/>
      <c r="D10" s="510"/>
      <c r="E10" s="510"/>
    </row>
    <row r="11" spans="1:6" s="58" customFormat="1" ht="26.25" customHeight="1" thickTop="1" thickBot="1">
      <c r="A11" s="2338" t="s">
        <v>692</v>
      </c>
      <c r="B11" s="2338"/>
      <c r="C11" s="388" t="s">
        <v>84</v>
      </c>
      <c r="D11" s="1131"/>
      <c r="E11" s="388"/>
      <c r="F11" s="388">
        <f>'№2.1.Монтаж БУ'!G9</f>
        <v>0</v>
      </c>
    </row>
    <row r="12" spans="1:6" ht="15.75" customHeight="1" thickTop="1" thickBot="1">
      <c r="A12" s="129"/>
      <c r="B12" s="129"/>
      <c r="C12" s="129"/>
      <c r="D12" s="129"/>
      <c r="E12" s="129"/>
      <c r="F12" s="129"/>
    </row>
    <row r="13" spans="1:6">
      <c r="A13" s="2346" t="s">
        <v>213</v>
      </c>
      <c r="B13" s="2348" t="s">
        <v>15</v>
      </c>
      <c r="C13" s="2348" t="s">
        <v>2</v>
      </c>
      <c r="D13" s="621" t="s">
        <v>16</v>
      </c>
      <c r="E13" s="2348" t="s">
        <v>32</v>
      </c>
      <c r="F13" s="2344" t="s">
        <v>104</v>
      </c>
    </row>
    <row r="14" spans="1:6" ht="24" customHeight="1">
      <c r="A14" s="2347"/>
      <c r="B14" s="2349"/>
      <c r="C14" s="2349"/>
      <c r="D14" s="392" t="s">
        <v>103</v>
      </c>
      <c r="E14" s="2349"/>
      <c r="F14" s="2345"/>
    </row>
    <row r="15" spans="1:6" ht="12.75" customHeight="1">
      <c r="A15" s="393">
        <v>1</v>
      </c>
      <c r="B15" s="392">
        <v>2</v>
      </c>
      <c r="C15" s="392">
        <v>3</v>
      </c>
      <c r="D15" s="392">
        <v>4</v>
      </c>
      <c r="E15" s="392">
        <v>6</v>
      </c>
      <c r="F15" s="394">
        <v>7</v>
      </c>
    </row>
    <row r="16" spans="1:6">
      <c r="A16" s="62" t="s">
        <v>4</v>
      </c>
      <c r="B16" s="2342" t="s">
        <v>53</v>
      </c>
      <c r="C16" s="2342"/>
      <c r="D16" s="2342"/>
      <c r="E16" s="2342"/>
      <c r="F16" s="2343"/>
    </row>
    <row r="17" spans="1:16" ht="24">
      <c r="A17" s="62"/>
      <c r="B17" s="133" t="s">
        <v>149</v>
      </c>
      <c r="C17" s="64"/>
      <c r="D17" s="65"/>
      <c r="E17" s="65"/>
      <c r="F17" s="66"/>
    </row>
    <row r="18" spans="1:16">
      <c r="A18" s="67" t="s">
        <v>24</v>
      </c>
      <c r="B18" s="250"/>
      <c r="C18" s="95"/>
      <c r="D18" s="831"/>
      <c r="E18" s="246"/>
      <c r="F18" s="298"/>
      <c r="O18" s="266"/>
      <c r="P18" s="266"/>
    </row>
    <row r="19" spans="1:16">
      <c r="A19" s="67"/>
      <c r="B19" s="122" t="s">
        <v>81</v>
      </c>
      <c r="C19" s="65"/>
      <c r="D19" s="65"/>
      <c r="E19" s="65"/>
      <c r="F19" s="268"/>
      <c r="O19" s="266"/>
      <c r="P19" s="266"/>
    </row>
    <row r="20" spans="1:16">
      <c r="A20" s="70" t="s">
        <v>5</v>
      </c>
      <c r="B20" s="2342" t="s">
        <v>89</v>
      </c>
      <c r="C20" s="2342"/>
      <c r="D20" s="2342"/>
      <c r="E20" s="2342"/>
      <c r="F20" s="2343"/>
      <c r="O20" s="266"/>
      <c r="P20" s="266"/>
    </row>
    <row r="21" spans="1:16" ht="24">
      <c r="A21" s="70"/>
      <c r="B21" s="133" t="s">
        <v>73</v>
      </c>
      <c r="C21" s="2352"/>
      <c r="D21" s="2352"/>
      <c r="E21" s="2352"/>
      <c r="F21" s="2353"/>
      <c r="O21" s="266"/>
      <c r="P21" s="266"/>
    </row>
    <row r="22" spans="1:16">
      <c r="A22" s="67" t="s">
        <v>18</v>
      </c>
      <c r="B22" s="68"/>
      <c r="C22" s="64"/>
      <c r="D22" s="262"/>
      <c r="E22" s="990"/>
      <c r="F22" s="298"/>
      <c r="O22" s="266"/>
      <c r="P22" s="266"/>
    </row>
    <row r="23" spans="1:16">
      <c r="A23" s="67" t="s">
        <v>19</v>
      </c>
      <c r="B23" s="68"/>
      <c r="C23" s="64"/>
      <c r="D23" s="262"/>
      <c r="E23" s="295"/>
      <c r="F23" s="298"/>
      <c r="O23" s="266"/>
      <c r="P23" s="266"/>
    </row>
    <row r="24" spans="1:16">
      <c r="A24" s="67"/>
      <c r="B24" s="65" t="s">
        <v>20</v>
      </c>
      <c r="C24" s="65"/>
      <c r="D24" s="65"/>
      <c r="E24" s="65"/>
      <c r="F24" s="66"/>
      <c r="O24" s="266"/>
      <c r="P24" s="266"/>
    </row>
    <row r="25" spans="1:16">
      <c r="A25" s="67"/>
      <c r="B25" s="121" t="s">
        <v>80</v>
      </c>
      <c r="C25" s="65"/>
      <c r="D25" s="65"/>
      <c r="E25" s="65"/>
      <c r="F25" s="271">
        <f>SUM(F22:F24)</f>
        <v>0</v>
      </c>
      <c r="O25" s="266"/>
      <c r="P25" s="266"/>
    </row>
    <row r="26" spans="1:16">
      <c r="A26" s="70" t="s">
        <v>21</v>
      </c>
      <c r="B26" s="2342" t="s">
        <v>17</v>
      </c>
      <c r="C26" s="2342"/>
      <c r="D26" s="2342"/>
      <c r="E26" s="2342"/>
      <c r="F26" s="2343"/>
      <c r="O26" s="266"/>
      <c r="P26" s="266"/>
    </row>
    <row r="27" spans="1:16">
      <c r="A27" s="70"/>
      <c r="B27" s="133" t="s">
        <v>85</v>
      </c>
      <c r="C27" s="2354"/>
      <c r="D27" s="2354"/>
      <c r="E27" s="2354"/>
      <c r="F27" s="2355"/>
      <c r="O27" s="266"/>
      <c r="P27" s="266"/>
    </row>
    <row r="28" spans="1:16" ht="16.5" hidden="1">
      <c r="A28" s="291" t="s">
        <v>22</v>
      </c>
      <c r="B28" s="292"/>
      <c r="C28" s="293" t="s">
        <v>282</v>
      </c>
      <c r="D28" s="294"/>
      <c r="E28" s="248"/>
      <c r="F28" s="267">
        <f t="shared" ref="F28:F44" si="0">ROUND(D28*E28,2)</f>
        <v>0</v>
      </c>
      <c r="O28" s="266"/>
      <c r="P28" s="266"/>
    </row>
    <row r="29" spans="1:16" ht="16.5" hidden="1">
      <c r="A29" s="291" t="s">
        <v>23</v>
      </c>
      <c r="B29" s="292"/>
      <c r="C29" s="293" t="s">
        <v>282</v>
      </c>
      <c r="D29" s="294"/>
      <c r="E29" s="248"/>
      <c r="F29" s="267">
        <f t="shared" si="0"/>
        <v>0</v>
      </c>
      <c r="O29" s="266"/>
      <c r="P29" s="266"/>
    </row>
    <row r="30" spans="1:16" hidden="1">
      <c r="A30" s="291" t="s">
        <v>283</v>
      </c>
      <c r="B30" s="292"/>
      <c r="C30" s="293" t="s">
        <v>63</v>
      </c>
      <c r="D30" s="294"/>
      <c r="E30" s="248"/>
      <c r="F30" s="267">
        <f t="shared" si="0"/>
        <v>0</v>
      </c>
      <c r="O30" s="266"/>
      <c r="P30" s="266"/>
    </row>
    <row r="31" spans="1:16" hidden="1">
      <c r="A31" s="291" t="s">
        <v>284</v>
      </c>
      <c r="B31" s="292"/>
      <c r="C31" s="293" t="s">
        <v>1</v>
      </c>
      <c r="D31" s="294"/>
      <c r="E31" s="248"/>
      <c r="F31" s="267">
        <f t="shared" si="0"/>
        <v>0</v>
      </c>
      <c r="O31" s="266"/>
      <c r="P31" s="266"/>
    </row>
    <row r="32" spans="1:16" hidden="1">
      <c r="A32" s="291" t="s">
        <v>285</v>
      </c>
      <c r="B32" s="292"/>
      <c r="C32" s="293" t="s">
        <v>63</v>
      </c>
      <c r="D32" s="294"/>
      <c r="E32" s="248"/>
      <c r="F32" s="267">
        <f t="shared" si="0"/>
        <v>0</v>
      </c>
      <c r="O32" s="266"/>
      <c r="P32" s="266"/>
    </row>
    <row r="33" spans="1:16" hidden="1">
      <c r="A33" s="291" t="s">
        <v>286</v>
      </c>
      <c r="B33" s="292"/>
      <c r="C33" s="293" t="s">
        <v>63</v>
      </c>
      <c r="D33" s="294"/>
      <c r="E33" s="248"/>
      <c r="F33" s="267">
        <f t="shared" si="0"/>
        <v>0</v>
      </c>
      <c r="O33" s="266"/>
      <c r="P33" s="266"/>
    </row>
    <row r="34" spans="1:16" hidden="1">
      <c r="A34" s="291" t="s">
        <v>287</v>
      </c>
      <c r="B34" s="292"/>
      <c r="C34" s="293" t="s">
        <v>63</v>
      </c>
      <c r="D34" s="294"/>
      <c r="E34" s="248"/>
      <c r="F34" s="267">
        <f t="shared" si="0"/>
        <v>0</v>
      </c>
      <c r="O34" s="266"/>
      <c r="P34" s="266"/>
    </row>
    <row r="35" spans="1:16" hidden="1">
      <c r="A35" s="291" t="s">
        <v>288</v>
      </c>
      <c r="B35" s="292"/>
      <c r="C35" s="293" t="s">
        <v>63</v>
      </c>
      <c r="D35" s="294"/>
      <c r="E35" s="248"/>
      <c r="F35" s="267">
        <f t="shared" si="0"/>
        <v>0</v>
      </c>
      <c r="O35" s="266"/>
      <c r="P35" s="266"/>
    </row>
    <row r="36" spans="1:16" hidden="1">
      <c r="A36" s="291" t="s">
        <v>290</v>
      </c>
      <c r="B36" s="292"/>
      <c r="C36" s="293" t="s">
        <v>300</v>
      </c>
      <c r="D36" s="294"/>
      <c r="E36" s="248"/>
      <c r="F36" s="267">
        <f t="shared" si="0"/>
        <v>0</v>
      </c>
      <c r="O36" s="266"/>
      <c r="P36" s="266"/>
    </row>
    <row r="37" spans="1:16" hidden="1">
      <c r="A37" s="291" t="s">
        <v>291</v>
      </c>
      <c r="B37" s="292"/>
      <c r="C37" s="293" t="s">
        <v>300</v>
      </c>
      <c r="D37" s="294"/>
      <c r="E37" s="248"/>
      <c r="F37" s="267">
        <f t="shared" si="0"/>
        <v>0</v>
      </c>
      <c r="O37" s="266"/>
      <c r="P37" s="266"/>
    </row>
    <row r="38" spans="1:16" hidden="1">
      <c r="A38" s="291" t="s">
        <v>292</v>
      </c>
      <c r="B38" s="292"/>
      <c r="C38" s="293" t="s">
        <v>300</v>
      </c>
      <c r="D38" s="294"/>
      <c r="E38" s="248"/>
      <c r="F38" s="267">
        <f t="shared" si="0"/>
        <v>0</v>
      </c>
      <c r="O38" s="266"/>
      <c r="P38" s="266"/>
    </row>
    <row r="39" spans="1:16" hidden="1">
      <c r="A39" s="291" t="s">
        <v>293</v>
      </c>
      <c r="B39" s="292"/>
      <c r="C39" s="293" t="s">
        <v>300</v>
      </c>
      <c r="D39" s="294"/>
      <c r="E39" s="248"/>
      <c r="F39" s="267">
        <f t="shared" si="0"/>
        <v>0</v>
      </c>
      <c r="O39" s="266"/>
      <c r="P39" s="266"/>
    </row>
    <row r="40" spans="1:16" hidden="1">
      <c r="A40" s="291" t="s">
        <v>294</v>
      </c>
      <c r="B40" s="292"/>
      <c r="C40" s="293" t="s">
        <v>300</v>
      </c>
      <c r="D40" s="294"/>
      <c r="E40" s="248"/>
      <c r="F40" s="267">
        <f t="shared" si="0"/>
        <v>0</v>
      </c>
      <c r="O40" s="266"/>
      <c r="P40" s="266"/>
    </row>
    <row r="41" spans="1:16" hidden="1">
      <c r="A41" s="291" t="s">
        <v>295</v>
      </c>
      <c r="B41" s="292"/>
      <c r="C41" s="293" t="s">
        <v>300</v>
      </c>
      <c r="D41" s="294"/>
      <c r="E41" s="248"/>
      <c r="F41" s="267">
        <f t="shared" si="0"/>
        <v>0</v>
      </c>
      <c r="O41" s="266"/>
      <c r="P41" s="266"/>
    </row>
    <row r="42" spans="1:16" hidden="1">
      <c r="A42" s="291" t="s">
        <v>296</v>
      </c>
      <c r="B42" s="292"/>
      <c r="C42" s="293" t="s">
        <v>219</v>
      </c>
      <c r="D42" s="294"/>
      <c r="E42" s="248"/>
      <c r="F42" s="267">
        <f t="shared" si="0"/>
        <v>0</v>
      </c>
      <c r="O42" s="266"/>
      <c r="P42" s="266"/>
    </row>
    <row r="43" spans="1:16" hidden="1">
      <c r="A43" s="291" t="s">
        <v>297</v>
      </c>
      <c r="B43" s="292"/>
      <c r="C43" s="293" t="s">
        <v>219</v>
      </c>
      <c r="D43" s="294"/>
      <c r="E43" s="248"/>
      <c r="F43" s="267">
        <f t="shared" si="0"/>
        <v>0</v>
      </c>
      <c r="O43" s="266"/>
      <c r="P43" s="266"/>
    </row>
    <row r="44" spans="1:16" hidden="1">
      <c r="A44" s="291" t="s">
        <v>298</v>
      </c>
      <c r="B44" s="292"/>
      <c r="C44" s="293" t="s">
        <v>289</v>
      </c>
      <c r="D44" s="294"/>
      <c r="E44" s="248"/>
      <c r="F44" s="267">
        <f t="shared" si="0"/>
        <v>0</v>
      </c>
      <c r="O44" s="266"/>
      <c r="P44" s="266"/>
    </row>
    <row r="45" spans="1:16" hidden="1">
      <c r="A45" s="291"/>
      <c r="B45" s="292" t="s">
        <v>20</v>
      </c>
      <c r="C45" s="293" t="s">
        <v>289</v>
      </c>
      <c r="D45" s="294"/>
      <c r="E45" s="248"/>
      <c r="F45" s="267">
        <f>ROUND(D45*E45,2)</f>
        <v>0</v>
      </c>
      <c r="O45" s="266"/>
      <c r="P45" s="266"/>
    </row>
    <row r="46" spans="1:16">
      <c r="A46" s="67"/>
      <c r="B46" s="121" t="s">
        <v>82</v>
      </c>
      <c r="C46" s="65"/>
      <c r="D46" s="65"/>
      <c r="E46" s="65"/>
      <c r="F46" s="1946">
        <f>SUM(F28:F45)</f>
        <v>0</v>
      </c>
      <c r="O46" s="266"/>
      <c r="P46" s="266"/>
    </row>
    <row r="47" spans="1:16">
      <c r="A47" s="70" t="s">
        <v>27</v>
      </c>
      <c r="B47" s="2318" t="s">
        <v>48</v>
      </c>
      <c r="C47" s="2319"/>
      <c r="D47" s="2319"/>
      <c r="E47" s="2319"/>
      <c r="F47" s="2320"/>
      <c r="O47" s="266"/>
      <c r="P47" s="266"/>
    </row>
    <row r="48" spans="1:16" ht="36">
      <c r="A48" s="70"/>
      <c r="B48" s="133" t="s">
        <v>76</v>
      </c>
      <c r="C48" s="2315"/>
      <c r="D48" s="2316"/>
      <c r="E48" s="2316"/>
      <c r="F48" s="2317"/>
      <c r="O48" s="266"/>
      <c r="P48" s="266"/>
    </row>
    <row r="49" spans="1:16" s="114" customFormat="1">
      <c r="A49" s="439" t="s">
        <v>28</v>
      </c>
      <c r="B49" s="68"/>
      <c r="C49" s="95"/>
      <c r="D49" s="381"/>
      <c r="E49" s="399"/>
      <c r="F49" s="356"/>
      <c r="O49" s="266"/>
      <c r="P49" s="266"/>
    </row>
    <row r="50" spans="1:16" s="114" customFormat="1">
      <c r="A50" s="439" t="s">
        <v>29</v>
      </c>
      <c r="B50" s="68"/>
      <c r="C50" s="262"/>
      <c r="D50" s="381"/>
      <c r="E50" s="399"/>
      <c r="F50" s="289"/>
      <c r="O50" s="266"/>
      <c r="P50" s="266"/>
    </row>
    <row r="51" spans="1:16" s="114" customFormat="1">
      <c r="A51" s="439" t="s">
        <v>305</v>
      </c>
      <c r="B51" s="68"/>
      <c r="C51" s="262"/>
      <c r="D51" s="381"/>
      <c r="E51" s="399"/>
      <c r="F51" s="289"/>
      <c r="O51" s="266"/>
      <c r="P51" s="266"/>
    </row>
    <row r="52" spans="1:16" s="114" customFormat="1">
      <c r="A52" s="439" t="s">
        <v>306</v>
      </c>
      <c r="B52" s="68"/>
      <c r="C52" s="262"/>
      <c r="D52" s="381"/>
      <c r="E52" s="399"/>
      <c r="F52" s="289"/>
      <c r="O52" s="266"/>
      <c r="P52" s="266"/>
    </row>
    <row r="53" spans="1:16" s="114" customFormat="1">
      <c r="A53" s="439" t="s">
        <v>307</v>
      </c>
      <c r="B53" s="68"/>
      <c r="C53" s="95"/>
      <c r="D53" s="909"/>
      <c r="E53" s="399"/>
      <c r="F53" s="356"/>
      <c r="O53" s="266"/>
      <c r="P53" s="266"/>
    </row>
    <row r="54" spans="1:16" s="114" customFormat="1">
      <c r="A54" s="439" t="s">
        <v>308</v>
      </c>
      <c r="B54" s="68"/>
      <c r="C54" s="95"/>
      <c r="D54" s="909"/>
      <c r="E54" s="399"/>
      <c r="F54" s="356"/>
      <c r="O54" s="266"/>
      <c r="P54" s="266"/>
    </row>
    <row r="55" spans="1:16" s="114" customFormat="1">
      <c r="A55" s="439" t="s">
        <v>314</v>
      </c>
      <c r="B55" s="910"/>
      <c r="C55" s="95"/>
      <c r="D55" s="909"/>
      <c r="E55" s="399"/>
      <c r="F55" s="356"/>
      <c r="O55" s="266"/>
      <c r="P55" s="266"/>
    </row>
    <row r="56" spans="1:16" s="114" customFormat="1">
      <c r="A56" s="439" t="s">
        <v>315</v>
      </c>
      <c r="B56" s="65"/>
      <c r="C56" s="262"/>
      <c r="D56" s="381"/>
      <c r="E56" s="399"/>
      <c r="F56" s="289"/>
      <c r="O56" s="266"/>
      <c r="P56" s="266"/>
    </row>
    <row r="57" spans="1:16" s="114" customFormat="1">
      <c r="A57" s="439"/>
      <c r="B57" s="476"/>
      <c r="C57" s="262"/>
      <c r="D57" s="381"/>
      <c r="E57" s="399"/>
      <c r="F57" s="289"/>
      <c r="O57" s="266"/>
      <c r="P57" s="266"/>
    </row>
    <row r="58" spans="1:16" s="114" customFormat="1">
      <c r="A58" s="439"/>
      <c r="B58" s="440" t="s">
        <v>83</v>
      </c>
      <c r="C58" s="408"/>
      <c r="D58" s="441"/>
      <c r="E58" s="441"/>
      <c r="F58" s="1947">
        <f>SUM(F49:F57)</f>
        <v>0</v>
      </c>
      <c r="O58" s="266"/>
      <c r="P58" s="266"/>
    </row>
    <row r="59" spans="1:16" s="114" customFormat="1">
      <c r="A59" s="2350" t="s">
        <v>30</v>
      </c>
      <c r="B59" s="435" t="s">
        <v>74</v>
      </c>
      <c r="C59" s="408"/>
      <c r="D59" s="262"/>
      <c r="E59" s="399"/>
      <c r="F59" s="442">
        <f>ROUND(D59*E59,2)</f>
        <v>0</v>
      </c>
      <c r="O59" s="266"/>
      <c r="P59" s="266"/>
    </row>
    <row r="60" spans="1:16" s="114" customFormat="1" hidden="1">
      <c r="A60" s="2351"/>
      <c r="B60" s="519" t="s">
        <v>399</v>
      </c>
      <c r="C60" s="408"/>
      <c r="D60" s="399"/>
      <c r="E60" s="399"/>
      <c r="F60" s="442">
        <f>ROUND(D60*E60,2)</f>
        <v>0</v>
      </c>
      <c r="O60" s="266"/>
      <c r="P60" s="266"/>
    </row>
    <row r="61" spans="1:16">
      <c r="A61" s="70" t="s">
        <v>10</v>
      </c>
      <c r="B61" s="2342" t="s">
        <v>77</v>
      </c>
      <c r="C61" s="2342"/>
      <c r="D61" s="2342"/>
      <c r="E61" s="2342"/>
      <c r="F61" s="2343"/>
      <c r="O61" s="266"/>
      <c r="P61" s="266"/>
    </row>
    <row r="62" spans="1:16">
      <c r="A62" s="186" t="s">
        <v>108</v>
      </c>
      <c r="B62" s="264"/>
      <c r="C62" s="296"/>
      <c r="D62" s="296"/>
      <c r="E62" s="287"/>
      <c r="F62" s="299"/>
      <c r="O62" s="266"/>
      <c r="P62" s="266"/>
    </row>
    <row r="63" spans="1:16">
      <c r="A63" s="186" t="s">
        <v>109</v>
      </c>
      <c r="B63" s="265"/>
      <c r="C63" s="296"/>
      <c r="D63" s="296"/>
      <c r="E63" s="287"/>
      <c r="F63" s="299"/>
      <c r="O63" s="266"/>
      <c r="P63" s="266"/>
    </row>
    <row r="64" spans="1:16">
      <c r="A64" s="439"/>
      <c r="B64" s="215"/>
      <c r="C64" s="408"/>
      <c r="D64" s="638"/>
      <c r="E64" s="638"/>
      <c r="F64" s="299"/>
    </row>
    <row r="65" spans="1:16">
      <c r="A65" s="186"/>
      <c r="B65" s="251" t="s">
        <v>86</v>
      </c>
      <c r="C65" s="252"/>
      <c r="D65" s="252"/>
      <c r="E65" s="297"/>
      <c r="F65" s="1948">
        <f>SUM(F62:F64)</f>
        <v>0</v>
      </c>
      <c r="O65" s="266"/>
      <c r="P65" s="266"/>
    </row>
    <row r="66" spans="1:16">
      <c r="A66" s="186"/>
      <c r="B66" s="63" t="s">
        <v>148</v>
      </c>
      <c r="C66" s="252"/>
      <c r="D66" s="252"/>
      <c r="E66" s="297"/>
      <c r="F66" s="1266">
        <f>F19+F46+F58+F59+F65+F60+F25</f>
        <v>0</v>
      </c>
      <c r="O66" s="266"/>
      <c r="P66" s="266"/>
    </row>
    <row r="67" spans="1:16">
      <c r="A67" s="186" t="s">
        <v>461</v>
      </c>
      <c r="B67" s="68"/>
      <c r="C67" s="95"/>
      <c r="D67" s="95"/>
      <c r="E67" s="287"/>
      <c r="F67" s="299"/>
      <c r="O67" s="266"/>
      <c r="P67" s="266"/>
    </row>
    <row r="68" spans="1:16" ht="29.25" customHeight="1">
      <c r="A68" s="71" t="s">
        <v>462</v>
      </c>
      <c r="B68" s="288" t="s">
        <v>1276</v>
      </c>
      <c r="C68" s="65"/>
      <c r="D68" s="65"/>
      <c r="E68" s="65"/>
      <c r="F68" s="911">
        <f>ROUND(F19*0.72,2)</f>
        <v>0</v>
      </c>
      <c r="O68" s="266"/>
      <c r="P68" s="266"/>
    </row>
    <row r="69" spans="1:16">
      <c r="A69" s="70" t="s">
        <v>463</v>
      </c>
      <c r="B69" s="69" t="s">
        <v>1277</v>
      </c>
      <c r="C69" s="65"/>
      <c r="D69" s="65"/>
      <c r="E69" s="65"/>
      <c r="F69" s="911">
        <f>ROUND(F19*0.48,2)</f>
        <v>0</v>
      </c>
      <c r="O69" s="266"/>
      <c r="P69" s="266"/>
    </row>
    <row r="70" spans="1:16">
      <c r="A70" s="72"/>
      <c r="B70" s="99" t="s">
        <v>26</v>
      </c>
      <c r="C70" s="73"/>
      <c r="D70" s="73"/>
      <c r="E70" s="73"/>
      <c r="F70" s="277">
        <f>F66+F68+F69+F67</f>
        <v>0</v>
      </c>
      <c r="O70" s="266"/>
      <c r="P70" s="266"/>
    </row>
    <row r="71" spans="1:16">
      <c r="A71" s="72"/>
      <c r="B71" s="99" t="s">
        <v>401</v>
      </c>
      <c r="C71" s="73"/>
      <c r="D71" s="73"/>
      <c r="E71" s="73"/>
      <c r="F71" s="277">
        <f>F70*0.2</f>
        <v>0</v>
      </c>
      <c r="O71" s="266"/>
      <c r="P71" s="266"/>
    </row>
    <row r="72" spans="1:16" ht="15.75" thickBot="1">
      <c r="A72" s="74"/>
      <c r="B72" s="100" t="s">
        <v>31</v>
      </c>
      <c r="C72" s="75"/>
      <c r="D72" s="75"/>
      <c r="E72" s="75"/>
      <c r="F72" s="278">
        <f>F70+F71</f>
        <v>0</v>
      </c>
      <c r="O72" s="266"/>
      <c r="P72" s="266"/>
    </row>
    <row r="73" spans="1:16">
      <c r="A73" s="78"/>
      <c r="O73" s="266"/>
      <c r="P73" s="266"/>
    </row>
    <row r="74" spans="1:16">
      <c r="A74" s="78"/>
      <c r="O74" s="266"/>
      <c r="P74" s="266"/>
    </row>
    <row r="75" spans="1:16">
      <c r="A75" s="78"/>
      <c r="O75" s="266"/>
      <c r="P75" s="266"/>
    </row>
    <row r="76" spans="1:16" ht="28.5" customHeight="1">
      <c r="A76" s="77"/>
      <c r="B76" s="259" t="e">
        <f>'№2.1.Монтаж БУ'!B81</f>
        <v>#REF!</v>
      </c>
      <c r="D76" s="116"/>
      <c r="E76" s="117"/>
      <c r="F76" s="2329" t="e">
        <f>'№2.1.Монтаж БУ'!F81:G81</f>
        <v>#REF!</v>
      </c>
      <c r="G76" s="2329"/>
      <c r="I76" s="2327"/>
      <c r="J76" s="2327"/>
      <c r="K76" s="108"/>
      <c r="L76" s="2327"/>
      <c r="M76" s="2327"/>
    </row>
    <row r="77" spans="1:16">
      <c r="A77" s="77"/>
      <c r="B77" s="103" t="s">
        <v>126</v>
      </c>
      <c r="C77" s="10"/>
      <c r="D77" s="107" t="s">
        <v>124</v>
      </c>
      <c r="E77" s="105"/>
      <c r="F77" s="101" t="s">
        <v>127</v>
      </c>
      <c r="G77" s="101"/>
      <c r="I77" s="2328"/>
      <c r="J77" s="2328"/>
      <c r="K77" s="108"/>
      <c r="L77" s="2294"/>
      <c r="M77" s="2294"/>
    </row>
    <row r="78" spans="1:16">
      <c r="A78" s="78"/>
    </row>
    <row r="79" spans="1:16">
      <c r="A79" s="78"/>
    </row>
    <row r="80" spans="1:16">
      <c r="A80" s="78"/>
    </row>
    <row r="81" spans="1:1">
      <c r="A81" s="78"/>
    </row>
  </sheetData>
  <mergeCells count="28">
    <mergeCell ref="B16:F16"/>
    <mergeCell ref="F13:F14"/>
    <mergeCell ref="B20:F20"/>
    <mergeCell ref="L76:M76"/>
    <mergeCell ref="A13:A14"/>
    <mergeCell ref="B13:B14"/>
    <mergeCell ref="C13:C14"/>
    <mergeCell ref="E13:E14"/>
    <mergeCell ref="F76:G76"/>
    <mergeCell ref="A59:A60"/>
    <mergeCell ref="B26:F26"/>
    <mergeCell ref="C21:F21"/>
    <mergeCell ref="C27:F27"/>
    <mergeCell ref="L77:M77"/>
    <mergeCell ref="B47:F47"/>
    <mergeCell ref="C48:F48"/>
    <mergeCell ref="B61:F61"/>
    <mergeCell ref="I76:J76"/>
    <mergeCell ref="I77:J77"/>
    <mergeCell ref="A11:B11"/>
    <mergeCell ref="D1:E1"/>
    <mergeCell ref="A2:E2"/>
    <mergeCell ref="A3:E3"/>
    <mergeCell ref="C4:D4"/>
    <mergeCell ref="C8:E8"/>
    <mergeCell ref="A9:B9"/>
    <mergeCell ref="C9:E9"/>
    <mergeCell ref="C6:D6"/>
  </mergeCells>
  <phoneticPr fontId="17" type="noConversion"/>
  <pageMargins left="1.1811023622047245" right="0.39370078740157483" top="0.39370078740157483" bottom="0.39370078740157483" header="0" footer="0"/>
  <pageSetup paperSize="9" scale="73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28"/>
  <sheetViews>
    <sheetView zoomScale="85" zoomScaleNormal="85" workbookViewId="0">
      <selection activeCell="I11" sqref="I11"/>
    </sheetView>
  </sheetViews>
  <sheetFormatPr defaultColWidth="9.140625" defaultRowHeight="15"/>
  <cols>
    <col min="1" max="1" width="6.140625" style="77" customWidth="1"/>
    <col min="2" max="2" width="51.42578125" style="77" customWidth="1"/>
    <col min="3" max="3" width="9.5703125" style="77" customWidth="1"/>
    <col min="4" max="4" width="14" style="77" customWidth="1"/>
    <col min="5" max="5" width="14.7109375" style="77" customWidth="1"/>
    <col min="6" max="6" width="18.42578125" style="77" customWidth="1"/>
    <col min="7" max="11" width="9.140625" style="77" customWidth="1"/>
    <col min="12" max="14" width="14.42578125" style="77" customWidth="1"/>
    <col min="15" max="15" width="15.85546875" style="77" bestFit="1" customWidth="1"/>
    <col min="16" max="16384" width="9.140625" style="77"/>
  </cols>
  <sheetData>
    <row r="1" spans="1:18">
      <c r="D1" s="2283" t="s">
        <v>159</v>
      </c>
      <c r="E1" s="2283"/>
      <c r="F1" s="2283"/>
    </row>
    <row r="2" spans="1:18">
      <c r="A2" s="2284" t="s">
        <v>356</v>
      </c>
      <c r="B2" s="2284"/>
      <c r="C2" s="2284"/>
      <c r="D2" s="2284"/>
      <c r="E2" s="2284"/>
      <c r="F2" s="2284"/>
    </row>
    <row r="3" spans="1:18" ht="27" customHeight="1" thickBot="1">
      <c r="A3" s="2356" t="s">
        <v>596</v>
      </c>
      <c r="B3" s="2356"/>
      <c r="C3" s="2356"/>
      <c r="D3" s="2356"/>
      <c r="E3" s="2356"/>
      <c r="F3" s="2356"/>
    </row>
    <row r="4" spans="1:18" s="1" customFormat="1" ht="30" thickTop="1" thickBot="1">
      <c r="A4" s="125" t="s">
        <v>595</v>
      </c>
      <c r="B4" s="508"/>
      <c r="C4" s="509"/>
      <c r="D4" s="495" t="e">
        <f>'Хим. скв 45'!#REF!</f>
        <v>#REF!</v>
      </c>
      <c r="E4" s="509"/>
      <c r="F4" s="509"/>
      <c r="G4" s="125"/>
    </row>
    <row r="5" spans="1:18" ht="15.75" thickTop="1">
      <c r="A5" s="2322" t="s">
        <v>140</v>
      </c>
      <c r="B5" s="2322"/>
      <c r="C5" s="2323"/>
      <c r="D5" s="2323"/>
      <c r="E5" s="2323"/>
      <c r="F5" s="2323"/>
    </row>
    <row r="6" spans="1:18" ht="15.75" thickBot="1">
      <c r="A6" s="2324" t="s">
        <v>139</v>
      </c>
      <c r="B6" s="2324"/>
      <c r="C6" s="2325" t="s">
        <v>143</v>
      </c>
      <c r="D6" s="2325"/>
      <c r="E6" s="2325"/>
      <c r="F6" s="2325"/>
    </row>
    <row r="7" spans="1:18" s="58" customFormat="1" ht="17.25" thickTop="1" thickBot="1">
      <c r="A7" s="2290" t="s">
        <v>396</v>
      </c>
      <c r="B7" s="2290"/>
      <c r="C7" s="388" t="s">
        <v>84</v>
      </c>
      <c r="D7" s="495"/>
      <c r="E7" s="388"/>
      <c r="F7" s="388"/>
      <c r="G7" s="388"/>
    </row>
    <row r="8" spans="1:18" ht="12" customHeight="1" thickTop="1" thickBot="1">
      <c r="A8" s="2327"/>
      <c r="B8" s="2327"/>
      <c r="C8" s="2327"/>
      <c r="D8" s="2327"/>
      <c r="E8" s="2327"/>
      <c r="F8" s="2327"/>
    </row>
    <row r="9" spans="1:18" ht="37.5" customHeight="1">
      <c r="A9" s="90" t="s">
        <v>213</v>
      </c>
      <c r="B9" s="91" t="s">
        <v>15</v>
      </c>
      <c r="C9" s="91" t="s">
        <v>2</v>
      </c>
      <c r="D9" s="91" t="s">
        <v>16</v>
      </c>
      <c r="E9" s="91" t="s">
        <v>32</v>
      </c>
      <c r="F9" s="92" t="s">
        <v>33</v>
      </c>
    </row>
    <row r="10" spans="1:18" ht="13.7" customHeight="1">
      <c r="A10" s="79">
        <v>1</v>
      </c>
      <c r="B10" s="80">
        <v>2</v>
      </c>
      <c r="C10" s="80">
        <v>3</v>
      </c>
      <c r="D10" s="80">
        <v>4</v>
      </c>
      <c r="E10" s="80">
        <v>5</v>
      </c>
      <c r="F10" s="81">
        <v>6</v>
      </c>
    </row>
    <row r="11" spans="1:18">
      <c r="A11" s="83" t="s">
        <v>456</v>
      </c>
      <c r="B11" s="465" t="s">
        <v>754</v>
      </c>
      <c r="C11" s="408" t="s">
        <v>1</v>
      </c>
      <c r="D11" s="612"/>
      <c r="E11" s="452"/>
      <c r="F11" s="466">
        <f>E11*D11</f>
        <v>0</v>
      </c>
    </row>
    <row r="12" spans="1:18">
      <c r="A12" s="86"/>
      <c r="B12" s="99" t="s">
        <v>26</v>
      </c>
      <c r="C12" s="73"/>
      <c r="D12" s="73"/>
      <c r="E12" s="73"/>
      <c r="F12" s="277">
        <f>F11</f>
        <v>0</v>
      </c>
    </row>
    <row r="13" spans="1:18">
      <c r="A13" s="86"/>
      <c r="B13" s="99" t="s">
        <v>401</v>
      </c>
      <c r="C13" s="73"/>
      <c r="D13" s="73"/>
      <c r="E13" s="73"/>
      <c r="F13" s="277">
        <f>ROUND(F12*0.2,2)</f>
        <v>0</v>
      </c>
    </row>
    <row r="14" spans="1:18" ht="15.75" thickBot="1">
      <c r="A14" s="87"/>
      <c r="B14" s="100" t="s">
        <v>31</v>
      </c>
      <c r="C14" s="75"/>
      <c r="D14" s="75"/>
      <c r="E14" s="75"/>
      <c r="F14" s="278">
        <f>F12+F13</f>
        <v>0</v>
      </c>
    </row>
    <row r="15" spans="1:18">
      <c r="A15" s="88"/>
      <c r="M15" s="105"/>
      <c r="Q15" s="2328"/>
      <c r="R15" s="2328"/>
    </row>
    <row r="16" spans="1:18">
      <c r="A16" s="2357" t="s">
        <v>330</v>
      </c>
      <c r="B16" s="2357"/>
      <c r="C16" s="2357"/>
      <c r="D16" s="2357"/>
      <c r="E16" s="2357"/>
      <c r="F16" s="2357"/>
    </row>
    <row r="17" spans="1:6">
      <c r="A17" s="88"/>
    </row>
    <row r="18" spans="1:6" s="114" customFormat="1" ht="15.75" thickBot="1">
      <c r="A18" s="437" t="s">
        <v>357</v>
      </c>
      <c r="B18" s="437"/>
      <c r="C18" s="438"/>
      <c r="D18" s="437" t="s">
        <v>84</v>
      </c>
      <c r="E18" s="437"/>
      <c r="F18" s="437"/>
    </row>
    <row r="19" spans="1:6" ht="30">
      <c r="A19" s="90" t="s">
        <v>213</v>
      </c>
      <c r="B19" s="91" t="s">
        <v>15</v>
      </c>
      <c r="C19" s="91" t="s">
        <v>2</v>
      </c>
      <c r="D19" s="91" t="s">
        <v>16</v>
      </c>
      <c r="E19" s="91" t="s">
        <v>32</v>
      </c>
      <c r="F19" s="92" t="s">
        <v>33</v>
      </c>
    </row>
    <row r="20" spans="1:6">
      <c r="A20" s="79">
        <v>1</v>
      </c>
      <c r="B20" s="80">
        <v>2</v>
      </c>
      <c r="C20" s="80">
        <v>3</v>
      </c>
      <c r="D20" s="80">
        <v>4</v>
      </c>
      <c r="E20" s="80">
        <v>5</v>
      </c>
      <c r="F20" s="81">
        <v>6</v>
      </c>
    </row>
    <row r="21" spans="1:6">
      <c r="A21" s="83" t="s">
        <v>456</v>
      </c>
      <c r="B21" s="465" t="s">
        <v>693</v>
      </c>
      <c r="C21" s="408" t="s">
        <v>219</v>
      </c>
      <c r="D21" s="612"/>
      <c r="E21" s="452"/>
      <c r="F21" s="466">
        <f>E21*D21</f>
        <v>0</v>
      </c>
    </row>
    <row r="22" spans="1:6">
      <c r="A22" s="86"/>
      <c r="B22" s="99" t="s">
        <v>26</v>
      </c>
      <c r="C22" s="73"/>
      <c r="D22" s="73"/>
      <c r="E22" s="73"/>
      <c r="F22" s="277">
        <f>F21</f>
        <v>0</v>
      </c>
    </row>
    <row r="23" spans="1:6">
      <c r="A23" s="86"/>
      <c r="B23" s="99" t="s">
        <v>401</v>
      </c>
      <c r="C23" s="73"/>
      <c r="D23" s="73"/>
      <c r="E23" s="73"/>
      <c r="F23" s="277">
        <f>ROUND(F22*0.2,2)</f>
        <v>0</v>
      </c>
    </row>
    <row r="24" spans="1:6" ht="15.75" thickBot="1">
      <c r="A24" s="87"/>
      <c r="B24" s="100" t="s">
        <v>31</v>
      </c>
      <c r="C24" s="75"/>
      <c r="D24" s="75"/>
      <c r="E24" s="75"/>
      <c r="F24" s="278">
        <f>F22+F23</f>
        <v>0</v>
      </c>
    </row>
    <row r="26" spans="1:6" ht="33" customHeight="1">
      <c r="B26" s="259" t="e">
        <f>'№5.1Демонтаж БУ'!B76</f>
        <v>#REF!</v>
      </c>
      <c r="C26" s="2358"/>
      <c r="D26" s="2358"/>
      <c r="E26" s="2329" t="e">
        <f>'№5.1Демонтаж БУ'!F76</f>
        <v>#REF!</v>
      </c>
      <c r="F26" s="2329"/>
    </row>
    <row r="27" spans="1:6">
      <c r="B27" s="103" t="s">
        <v>126</v>
      </c>
      <c r="C27" s="2328" t="s">
        <v>124</v>
      </c>
      <c r="D27" s="2328"/>
      <c r="E27" s="101" t="s">
        <v>127</v>
      </c>
      <c r="F27" s="101"/>
    </row>
    <row r="28" spans="1:6">
      <c r="A28" s="88"/>
    </row>
  </sheetData>
  <mergeCells count="14">
    <mergeCell ref="A16:F16"/>
    <mergeCell ref="E26:F26"/>
    <mergeCell ref="C27:D27"/>
    <mergeCell ref="C26:D26"/>
    <mergeCell ref="Q15:R15"/>
    <mergeCell ref="A7:B7"/>
    <mergeCell ref="A2:F2"/>
    <mergeCell ref="A8:F8"/>
    <mergeCell ref="A3:F3"/>
    <mergeCell ref="D1:F1"/>
    <mergeCell ref="A5:B5"/>
    <mergeCell ref="C5:F5"/>
    <mergeCell ref="A6:B6"/>
    <mergeCell ref="C6:F6"/>
  </mergeCells>
  <phoneticPr fontId="17" type="noConversion"/>
  <pageMargins left="1.1811023622047245" right="0.39370078740157483" top="0.39370078740157483" bottom="0.39370078740157483" header="0" footer="0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48"/>
  <sheetViews>
    <sheetView topLeftCell="A54" zoomScaleNormal="100" workbookViewId="0">
      <selection activeCell="A23" sqref="A23:XFD53"/>
    </sheetView>
  </sheetViews>
  <sheetFormatPr defaultColWidth="9.140625" defaultRowHeight="15"/>
  <cols>
    <col min="1" max="1" width="5.85546875" style="77" customWidth="1"/>
    <col min="2" max="2" width="53.42578125" style="77" customWidth="1"/>
    <col min="3" max="3" width="9.140625" style="77"/>
    <col min="4" max="4" width="14" style="77" customWidth="1"/>
    <col min="5" max="5" width="13.28515625" style="77" customWidth="1"/>
    <col min="6" max="6" width="16.85546875" style="77" customWidth="1"/>
    <col min="7" max="7" width="9.140625" style="77" customWidth="1"/>
    <col min="8" max="8" width="11.5703125" style="77" customWidth="1"/>
    <col min="9" max="11" width="7.7109375" style="77" customWidth="1"/>
    <col min="12" max="12" width="10" style="77" bestFit="1" customWidth="1"/>
    <col min="13" max="13" width="11.42578125" style="77" customWidth="1"/>
    <col min="14" max="14" width="14.28515625" style="77" customWidth="1"/>
    <col min="15" max="16384" width="9.140625" style="77"/>
  </cols>
  <sheetData>
    <row r="1" spans="1:15">
      <c r="D1" s="2283" t="s">
        <v>159</v>
      </c>
      <c r="E1" s="2283"/>
      <c r="F1" s="2283"/>
    </row>
    <row r="2" spans="1:15">
      <c r="A2" s="2284" t="s">
        <v>397</v>
      </c>
      <c r="B2" s="2284"/>
      <c r="C2" s="2284"/>
      <c r="D2" s="2284"/>
      <c r="E2" s="2284"/>
      <c r="F2" s="2284"/>
    </row>
    <row r="3" spans="1:15">
      <c r="A3" s="2284" t="s">
        <v>164</v>
      </c>
      <c r="B3" s="2284"/>
      <c r="C3" s="2284"/>
      <c r="D3" s="2284"/>
      <c r="E3" s="2284"/>
      <c r="F3" s="2284"/>
    </row>
    <row r="4" spans="1:15" ht="15.75" thickBot="1">
      <c r="A4" s="26"/>
      <c r="B4" s="26"/>
      <c r="C4" s="26"/>
      <c r="D4" s="26"/>
      <c r="E4" s="26"/>
      <c r="F4" s="26"/>
    </row>
    <row r="5" spans="1:15" s="1" customFormat="1" ht="30" thickTop="1" thickBot="1">
      <c r="A5" s="125" t="s">
        <v>595</v>
      </c>
      <c r="B5" s="508"/>
      <c r="C5" s="509"/>
      <c r="D5" s="495" t="e">
        <f>'Хим. скв 45'!#REF!</f>
        <v>#REF!</v>
      </c>
      <c r="E5" s="509"/>
      <c r="F5" s="509"/>
      <c r="G5" s="125"/>
    </row>
    <row r="6" spans="1:15" ht="15.75" thickTop="1">
      <c r="A6" s="2322" t="s">
        <v>140</v>
      </c>
      <c r="B6" s="2322"/>
      <c r="C6" s="2323"/>
      <c r="D6" s="2323"/>
      <c r="E6" s="2323"/>
      <c r="F6" s="2323"/>
    </row>
    <row r="7" spans="1:15" ht="15.75" thickBot="1">
      <c r="A7" s="2324" t="s">
        <v>139</v>
      </c>
      <c r="B7" s="2324"/>
      <c r="C7" s="2325" t="s">
        <v>143</v>
      </c>
      <c r="D7" s="2325"/>
      <c r="E7" s="2325"/>
      <c r="F7" s="2325"/>
    </row>
    <row r="8" spans="1:15" s="58" customFormat="1" ht="17.25" thickTop="1" thickBot="1">
      <c r="A8" s="2290" t="s">
        <v>396</v>
      </c>
      <c r="B8" s="2290"/>
      <c r="C8" s="388" t="s">
        <v>84</v>
      </c>
      <c r="D8" s="495"/>
      <c r="E8" s="388"/>
      <c r="F8" s="388">
        <f>'№5.1Демонтаж БУ'!F11</f>
        <v>0</v>
      </c>
      <c r="G8" s="388"/>
    </row>
    <row r="9" spans="1:15" ht="16.5" thickTop="1" thickBot="1">
      <c r="A9" s="2327"/>
      <c r="B9" s="2327"/>
      <c r="C9" s="2327"/>
      <c r="D9" s="2327"/>
      <c r="E9" s="2327"/>
      <c r="F9" s="2327"/>
    </row>
    <row r="10" spans="1:15" ht="45">
      <c r="A10" s="90" t="s">
        <v>213</v>
      </c>
      <c r="B10" s="91" t="s">
        <v>15</v>
      </c>
      <c r="C10" s="91" t="s">
        <v>2</v>
      </c>
      <c r="D10" s="91" t="s">
        <v>16</v>
      </c>
      <c r="E10" s="91" t="s">
        <v>32</v>
      </c>
      <c r="F10" s="92" t="s">
        <v>33</v>
      </c>
    </row>
    <row r="11" spans="1:15">
      <c r="A11" s="79">
        <v>1</v>
      </c>
      <c r="B11" s="80">
        <v>2</v>
      </c>
      <c r="C11" s="80">
        <v>3</v>
      </c>
      <c r="D11" s="80">
        <v>4</v>
      </c>
      <c r="E11" s="80">
        <v>5</v>
      </c>
      <c r="F11" s="81">
        <v>6</v>
      </c>
    </row>
    <row r="12" spans="1:15">
      <c r="A12" s="89" t="s">
        <v>4</v>
      </c>
      <c r="B12" s="2342" t="s">
        <v>53</v>
      </c>
      <c r="C12" s="2342"/>
      <c r="D12" s="2342"/>
      <c r="E12" s="2342"/>
      <c r="F12" s="2343"/>
    </row>
    <row r="13" spans="1:15" ht="24">
      <c r="A13" s="89"/>
      <c r="B13" s="133" t="s">
        <v>150</v>
      </c>
      <c r="C13" s="2354"/>
      <c r="D13" s="2354"/>
      <c r="E13" s="2354"/>
      <c r="F13" s="2355"/>
    </row>
    <row r="14" spans="1:15">
      <c r="A14" s="67" t="s">
        <v>24</v>
      </c>
      <c r="B14" s="250"/>
      <c r="C14" s="64" t="s">
        <v>62</v>
      </c>
      <c r="D14" s="245"/>
      <c r="E14" s="246"/>
      <c r="F14" s="290">
        <f>ROUND(E14*D14,2)</f>
        <v>0</v>
      </c>
      <c r="M14" s="266"/>
      <c r="N14" s="266"/>
      <c r="O14" s="266"/>
    </row>
    <row r="15" spans="1:15">
      <c r="A15" s="83"/>
      <c r="B15" s="121" t="s">
        <v>81</v>
      </c>
      <c r="C15" s="65"/>
      <c r="D15" s="248"/>
      <c r="E15" s="248"/>
      <c r="F15" s="271">
        <f>SUM(F14:F14)</f>
        <v>0</v>
      </c>
      <c r="M15" s="266"/>
      <c r="N15" s="266"/>
    </row>
    <row r="16" spans="1:15">
      <c r="A16" s="84" t="s">
        <v>5</v>
      </c>
      <c r="B16" s="2342" t="s">
        <v>89</v>
      </c>
      <c r="C16" s="2342"/>
      <c r="D16" s="2342"/>
      <c r="E16" s="2342"/>
      <c r="F16" s="2343"/>
      <c r="M16" s="266"/>
      <c r="N16" s="266"/>
      <c r="O16" s="266"/>
    </row>
    <row r="17" spans="1:15">
      <c r="A17" s="84"/>
      <c r="B17" s="133" t="s">
        <v>73</v>
      </c>
      <c r="C17" s="2352"/>
      <c r="D17" s="2352"/>
      <c r="E17" s="2352"/>
      <c r="F17" s="2353"/>
      <c r="M17" s="266"/>
      <c r="N17" s="266"/>
      <c r="O17" s="266"/>
    </row>
    <row r="18" spans="1:15">
      <c r="A18" s="83" t="s">
        <v>18</v>
      </c>
      <c r="B18" s="94"/>
      <c r="C18" s="1301" t="s">
        <v>62</v>
      </c>
      <c r="D18" s="64"/>
      <c r="E18" s="248"/>
      <c r="F18" s="637">
        <f>'№1,6 Мобил., демоб  БУ'!L15*11*2*D18</f>
        <v>0</v>
      </c>
      <c r="M18" s="266"/>
      <c r="N18" s="266"/>
    </row>
    <row r="19" spans="1:15">
      <c r="A19" s="83" t="s">
        <v>19</v>
      </c>
      <c r="B19" s="94"/>
      <c r="C19" s="1301" t="s">
        <v>62</v>
      </c>
      <c r="D19" s="64"/>
      <c r="E19" s="95"/>
      <c r="F19" s="637">
        <f>11*1363.03*D19</f>
        <v>0</v>
      </c>
      <c r="M19" s="266"/>
      <c r="N19" s="266"/>
    </row>
    <row r="20" spans="1:15">
      <c r="A20" s="83"/>
      <c r="B20" s="121" t="s">
        <v>144</v>
      </c>
      <c r="C20" s="65"/>
      <c r="D20" s="248"/>
      <c r="E20" s="248"/>
      <c r="F20" s="271">
        <f>SUM(F18:F19)</f>
        <v>0</v>
      </c>
      <c r="M20" s="266"/>
      <c r="N20" s="266"/>
    </row>
    <row r="21" spans="1:15">
      <c r="A21" s="84" t="s">
        <v>21</v>
      </c>
      <c r="B21" s="2342" t="s">
        <v>17</v>
      </c>
      <c r="C21" s="2342"/>
      <c r="D21" s="2342"/>
      <c r="E21" s="2342"/>
      <c r="F21" s="2343"/>
      <c r="M21" s="266"/>
      <c r="N21" s="266"/>
      <c r="O21" s="266"/>
    </row>
    <row r="22" spans="1:15">
      <c r="A22" s="84"/>
      <c r="B22" s="133" t="s">
        <v>85</v>
      </c>
      <c r="C22" s="2354"/>
      <c r="D22" s="2354"/>
      <c r="E22" s="2354"/>
      <c r="F22" s="2355"/>
      <c r="M22" s="266"/>
      <c r="N22" s="266"/>
      <c r="O22" s="266"/>
    </row>
    <row r="23" spans="1:15" hidden="1">
      <c r="A23" s="83" t="s">
        <v>22</v>
      </c>
      <c r="B23" s="913"/>
      <c r="C23" s="95"/>
      <c r="D23" s="914"/>
      <c r="E23" s="915"/>
      <c r="F23" s="916">
        <f>D23*E23</f>
        <v>0</v>
      </c>
      <c r="H23" s="1756"/>
      <c r="M23" s="266"/>
      <c r="N23" s="266"/>
      <c r="O23" s="266"/>
    </row>
    <row r="24" spans="1:15" hidden="1">
      <c r="A24" s="83" t="s">
        <v>23</v>
      </c>
      <c r="B24" s="913"/>
      <c r="C24" s="95"/>
      <c r="D24" s="914"/>
      <c r="E24" s="915"/>
      <c r="F24" s="916">
        <f t="shared" ref="F24:F53" si="0">D24*E24</f>
        <v>0</v>
      </c>
      <c r="H24" s="1756"/>
      <c r="M24" s="266"/>
      <c r="N24" s="266"/>
      <c r="O24" s="266"/>
    </row>
    <row r="25" spans="1:15" hidden="1">
      <c r="A25" s="83" t="s">
        <v>283</v>
      </c>
      <c r="B25" s="913"/>
      <c r="C25" s="95"/>
      <c r="D25" s="914"/>
      <c r="E25" s="915"/>
      <c r="F25" s="916">
        <f t="shared" si="0"/>
        <v>0</v>
      </c>
      <c r="H25" s="1756"/>
      <c r="M25" s="266"/>
      <c r="N25" s="266"/>
      <c r="O25" s="266"/>
    </row>
    <row r="26" spans="1:15" hidden="1">
      <c r="A26" s="83" t="s">
        <v>284</v>
      </c>
      <c r="B26" s="913"/>
      <c r="C26" s="95"/>
      <c r="D26" s="914"/>
      <c r="E26" s="915"/>
      <c r="F26" s="916">
        <f t="shared" si="0"/>
        <v>0</v>
      </c>
      <c r="H26" s="1756"/>
      <c r="M26" s="266"/>
      <c r="N26" s="266"/>
      <c r="O26" s="266"/>
    </row>
    <row r="27" spans="1:15" hidden="1">
      <c r="A27" s="83" t="s">
        <v>285</v>
      </c>
      <c r="B27" s="913"/>
      <c r="C27" s="95"/>
      <c r="D27" s="914"/>
      <c r="E27" s="915"/>
      <c r="F27" s="916">
        <f t="shared" si="0"/>
        <v>0</v>
      </c>
      <c r="H27" s="1756"/>
      <c r="M27" s="266"/>
      <c r="N27" s="266"/>
      <c r="O27" s="266"/>
    </row>
    <row r="28" spans="1:15" hidden="1">
      <c r="A28" s="83" t="s">
        <v>286</v>
      </c>
      <c r="B28" s="913"/>
      <c r="C28" s="95"/>
      <c r="D28" s="914"/>
      <c r="E28" s="915"/>
      <c r="F28" s="916">
        <f t="shared" si="0"/>
        <v>0</v>
      </c>
      <c r="H28" s="1756"/>
      <c r="M28" s="266"/>
      <c r="N28" s="266"/>
      <c r="O28" s="266"/>
    </row>
    <row r="29" spans="1:15" hidden="1">
      <c r="A29" s="83" t="s">
        <v>287</v>
      </c>
      <c r="B29" s="913"/>
      <c r="C29" s="95"/>
      <c r="D29" s="914"/>
      <c r="E29" s="915"/>
      <c r="F29" s="916">
        <f t="shared" si="0"/>
        <v>0</v>
      </c>
      <c r="H29" s="1756"/>
      <c r="M29" s="266"/>
      <c r="N29" s="266"/>
      <c r="O29" s="266"/>
    </row>
    <row r="30" spans="1:15" hidden="1">
      <c r="A30" s="83" t="s">
        <v>288</v>
      </c>
      <c r="B30" s="913"/>
      <c r="C30" s="95"/>
      <c r="D30" s="914"/>
      <c r="E30" s="915"/>
      <c r="F30" s="916">
        <f t="shared" si="0"/>
        <v>0</v>
      </c>
      <c r="H30" s="1756"/>
      <c r="M30" s="266"/>
      <c r="N30" s="266"/>
      <c r="O30" s="266"/>
    </row>
    <row r="31" spans="1:15" hidden="1">
      <c r="A31" s="83" t="s">
        <v>290</v>
      </c>
      <c r="B31" s="913"/>
      <c r="C31" s="95"/>
      <c r="D31" s="914"/>
      <c r="E31" s="915"/>
      <c r="F31" s="916">
        <f t="shared" si="0"/>
        <v>0</v>
      </c>
      <c r="H31" s="1756"/>
      <c r="M31" s="266"/>
      <c r="N31" s="266"/>
      <c r="O31" s="266"/>
    </row>
    <row r="32" spans="1:15" hidden="1">
      <c r="A32" s="83" t="s">
        <v>291</v>
      </c>
      <c r="B32" s="913"/>
      <c r="C32" s="95"/>
      <c r="D32" s="914"/>
      <c r="E32" s="915"/>
      <c r="F32" s="916">
        <f t="shared" si="0"/>
        <v>0</v>
      </c>
      <c r="H32" s="1756"/>
      <c r="M32" s="266"/>
      <c r="N32" s="266"/>
      <c r="O32" s="266"/>
    </row>
    <row r="33" spans="1:15" hidden="1">
      <c r="A33" s="83" t="s">
        <v>292</v>
      </c>
      <c r="B33" s="913"/>
      <c r="C33" s="95"/>
      <c r="D33" s="914"/>
      <c r="E33" s="915"/>
      <c r="F33" s="916">
        <f t="shared" si="0"/>
        <v>0</v>
      </c>
      <c r="H33" s="1756"/>
      <c r="M33" s="266"/>
      <c r="N33" s="266"/>
      <c r="O33" s="266"/>
    </row>
    <row r="34" spans="1:15" hidden="1">
      <c r="A34" s="83" t="s">
        <v>293</v>
      </c>
      <c r="B34" s="913"/>
      <c r="C34" s="95"/>
      <c r="D34" s="914"/>
      <c r="E34" s="915"/>
      <c r="F34" s="916">
        <f t="shared" si="0"/>
        <v>0</v>
      </c>
      <c r="H34" s="1756"/>
      <c r="M34" s="266"/>
      <c r="N34" s="266"/>
      <c r="O34" s="266"/>
    </row>
    <row r="35" spans="1:15" hidden="1">
      <c r="A35" s="83" t="s">
        <v>294</v>
      </c>
      <c r="B35" s="913"/>
      <c r="C35" s="95"/>
      <c r="D35" s="914"/>
      <c r="E35" s="915"/>
      <c r="F35" s="916">
        <f t="shared" si="0"/>
        <v>0</v>
      </c>
      <c r="H35" s="1756"/>
      <c r="M35" s="266"/>
      <c r="N35" s="266"/>
      <c r="O35" s="266"/>
    </row>
    <row r="36" spans="1:15" hidden="1">
      <c r="A36" s="83" t="s">
        <v>295</v>
      </c>
      <c r="B36" s="913"/>
      <c r="C36" s="95"/>
      <c r="D36" s="914"/>
      <c r="E36" s="915"/>
      <c r="F36" s="916">
        <f t="shared" si="0"/>
        <v>0</v>
      </c>
      <c r="H36" s="1756"/>
      <c r="M36" s="266"/>
      <c r="N36" s="266"/>
      <c r="O36" s="266"/>
    </row>
    <row r="37" spans="1:15" hidden="1">
      <c r="A37" s="83" t="s">
        <v>296</v>
      </c>
      <c r="B37" s="913"/>
      <c r="C37" s="95"/>
      <c r="D37" s="914"/>
      <c r="E37" s="915"/>
      <c r="F37" s="916">
        <f t="shared" si="0"/>
        <v>0</v>
      </c>
      <c r="H37" s="1756"/>
      <c r="M37" s="266"/>
      <c r="N37" s="266"/>
      <c r="O37" s="266"/>
    </row>
    <row r="38" spans="1:15" hidden="1">
      <c r="A38" s="83" t="s">
        <v>297</v>
      </c>
      <c r="B38" s="913"/>
      <c r="C38" s="95"/>
      <c r="D38" s="914"/>
      <c r="E38" s="915"/>
      <c r="F38" s="916">
        <f t="shared" si="0"/>
        <v>0</v>
      </c>
      <c r="H38" s="1756"/>
      <c r="M38" s="266"/>
      <c r="N38" s="266"/>
      <c r="O38" s="266"/>
    </row>
    <row r="39" spans="1:15" hidden="1">
      <c r="A39" s="83" t="s">
        <v>298</v>
      </c>
      <c r="B39" s="913"/>
      <c r="C39" s="95"/>
      <c r="D39" s="914"/>
      <c r="E39" s="915"/>
      <c r="F39" s="916">
        <f t="shared" si="0"/>
        <v>0</v>
      </c>
      <c r="H39" s="1756"/>
      <c r="M39" s="266"/>
      <c r="N39" s="266"/>
      <c r="O39" s="266"/>
    </row>
    <row r="40" spans="1:15" hidden="1">
      <c r="A40" s="83" t="s">
        <v>652</v>
      </c>
      <c r="B40" s="913"/>
      <c r="C40" s="95"/>
      <c r="D40" s="914"/>
      <c r="E40" s="915"/>
      <c r="F40" s="916">
        <f t="shared" si="0"/>
        <v>0</v>
      </c>
      <c r="H40" s="1756"/>
      <c r="M40" s="266"/>
      <c r="N40" s="266"/>
      <c r="O40" s="266"/>
    </row>
    <row r="41" spans="1:15" hidden="1">
      <c r="A41" s="83" t="s">
        <v>653</v>
      </c>
      <c r="B41" s="913"/>
      <c r="C41" s="95"/>
      <c r="D41" s="914"/>
      <c r="E41" s="915"/>
      <c r="F41" s="916">
        <f t="shared" si="0"/>
        <v>0</v>
      </c>
      <c r="H41" s="1756"/>
      <c r="M41" s="266"/>
      <c r="N41" s="266"/>
      <c r="O41" s="266"/>
    </row>
    <row r="42" spans="1:15" hidden="1">
      <c r="A42" s="83" t="s">
        <v>654</v>
      </c>
      <c r="B42" s="1762"/>
      <c r="C42" s="95"/>
      <c r="D42" s="914"/>
      <c r="E42" s="1763"/>
      <c r="F42" s="916">
        <f t="shared" si="0"/>
        <v>0</v>
      </c>
      <c r="H42" s="1756"/>
      <c r="M42" s="266"/>
      <c r="N42" s="266"/>
      <c r="O42" s="266"/>
    </row>
    <row r="43" spans="1:15" hidden="1">
      <c r="A43" s="83" t="s">
        <v>655</v>
      </c>
      <c r="B43" s="1762"/>
      <c r="C43" s="95"/>
      <c r="D43" s="914"/>
      <c r="E43" s="1763"/>
      <c r="F43" s="916">
        <f t="shared" si="0"/>
        <v>0</v>
      </c>
      <c r="H43" s="1756"/>
      <c r="M43" s="266"/>
      <c r="N43" s="266"/>
      <c r="O43" s="266"/>
    </row>
    <row r="44" spans="1:15" hidden="1">
      <c r="A44" s="83" t="s">
        <v>664</v>
      </c>
      <c r="B44" s="1762"/>
      <c r="C44" s="95"/>
      <c r="D44" s="914"/>
      <c r="E44" s="1763"/>
      <c r="F44" s="916">
        <f t="shared" si="0"/>
        <v>0</v>
      </c>
      <c r="H44" s="1756"/>
      <c r="M44" s="266"/>
      <c r="N44" s="266"/>
      <c r="O44" s="266"/>
    </row>
    <row r="45" spans="1:15" hidden="1">
      <c r="A45" s="83" t="s">
        <v>665</v>
      </c>
      <c r="B45" s="1762"/>
      <c r="C45" s="95"/>
      <c r="D45" s="914"/>
      <c r="E45" s="1763"/>
      <c r="F45" s="916">
        <f t="shared" si="0"/>
        <v>0</v>
      </c>
      <c r="H45" s="1756"/>
      <c r="M45" s="266"/>
      <c r="N45" s="266"/>
      <c r="O45" s="266"/>
    </row>
    <row r="46" spans="1:15" hidden="1">
      <c r="A46" s="83" t="s">
        <v>666</v>
      </c>
      <c r="B46" s="913"/>
      <c r="C46" s="95"/>
      <c r="D46" s="914"/>
      <c r="E46" s="915"/>
      <c r="F46" s="916">
        <f t="shared" si="0"/>
        <v>0</v>
      </c>
      <c r="H46" s="1756"/>
      <c r="M46" s="266"/>
      <c r="N46" s="266"/>
      <c r="O46" s="266"/>
    </row>
    <row r="47" spans="1:15" hidden="1">
      <c r="A47" s="83" t="s">
        <v>667</v>
      </c>
      <c r="B47" s="913"/>
      <c r="C47" s="95"/>
      <c r="D47" s="914"/>
      <c r="E47" s="915"/>
      <c r="F47" s="916">
        <f t="shared" si="0"/>
        <v>0</v>
      </c>
      <c r="H47" s="1756"/>
      <c r="M47" s="266"/>
      <c r="N47" s="266"/>
      <c r="O47" s="266"/>
    </row>
    <row r="48" spans="1:15" hidden="1">
      <c r="A48" s="83" t="s">
        <v>668</v>
      </c>
      <c r="B48" s="913"/>
      <c r="C48" s="95"/>
      <c r="D48" s="914"/>
      <c r="E48" s="915"/>
      <c r="F48" s="916">
        <f t="shared" si="0"/>
        <v>0</v>
      </c>
      <c r="H48" s="1756"/>
      <c r="M48" s="266"/>
      <c r="N48" s="266"/>
      <c r="O48" s="266"/>
    </row>
    <row r="49" spans="1:15" hidden="1">
      <c r="A49" s="83" t="s">
        <v>669</v>
      </c>
      <c r="B49" s="913"/>
      <c r="C49" s="95"/>
      <c r="D49" s="914"/>
      <c r="E49" s="915"/>
      <c r="F49" s="916">
        <f t="shared" si="0"/>
        <v>0</v>
      </c>
      <c r="H49" s="1756"/>
      <c r="M49" s="266"/>
      <c r="N49" s="266"/>
      <c r="O49" s="266"/>
    </row>
    <row r="50" spans="1:15" hidden="1">
      <c r="A50" s="83" t="s">
        <v>670</v>
      </c>
      <c r="B50" s="913"/>
      <c r="C50" s="95"/>
      <c r="D50" s="914"/>
      <c r="E50" s="915"/>
      <c r="F50" s="916">
        <f t="shared" si="0"/>
        <v>0</v>
      </c>
      <c r="H50" s="1756"/>
      <c r="M50" s="266"/>
      <c r="N50" s="266"/>
      <c r="O50" s="266"/>
    </row>
    <row r="51" spans="1:15" hidden="1">
      <c r="A51" s="83" t="s">
        <v>671</v>
      </c>
      <c r="B51" s="913"/>
      <c r="C51" s="95"/>
      <c r="D51" s="914"/>
      <c r="E51" s="915"/>
      <c r="F51" s="916">
        <f t="shared" si="0"/>
        <v>0</v>
      </c>
      <c r="H51" s="1756"/>
      <c r="M51" s="266"/>
      <c r="N51" s="266"/>
      <c r="O51" s="266"/>
    </row>
    <row r="52" spans="1:15" hidden="1">
      <c r="A52" s="83" t="s">
        <v>672</v>
      </c>
      <c r="B52" s="913"/>
      <c r="C52" s="95"/>
      <c r="D52" s="914"/>
      <c r="E52" s="915"/>
      <c r="F52" s="916">
        <f t="shared" si="0"/>
        <v>0</v>
      </c>
      <c r="H52" s="1756"/>
      <c r="M52" s="266"/>
      <c r="N52" s="266"/>
      <c r="O52" s="266"/>
    </row>
    <row r="53" spans="1:15" hidden="1">
      <c r="A53" s="83" t="s">
        <v>673</v>
      </c>
      <c r="B53" s="913"/>
      <c r="C53" s="95"/>
      <c r="D53" s="914"/>
      <c r="E53" s="915"/>
      <c r="F53" s="916">
        <f t="shared" si="0"/>
        <v>0</v>
      </c>
      <c r="H53" s="1756"/>
      <c r="M53" s="266"/>
      <c r="N53" s="266"/>
      <c r="O53" s="266"/>
    </row>
    <row r="54" spans="1:15">
      <c r="A54" s="83"/>
      <c r="B54" s="121" t="s">
        <v>82</v>
      </c>
      <c r="C54" s="65"/>
      <c r="D54" s="248"/>
      <c r="E54" s="248"/>
      <c r="F54" s="271">
        <f>SUM(F23:F53)</f>
        <v>0</v>
      </c>
      <c r="H54" s="1756"/>
      <c r="M54" s="266"/>
      <c r="N54" s="266"/>
    </row>
    <row r="55" spans="1:15">
      <c r="A55" s="84" t="s">
        <v>27</v>
      </c>
      <c r="B55" s="2318" t="s">
        <v>145</v>
      </c>
      <c r="C55" s="2319"/>
      <c r="D55" s="2319"/>
      <c r="E55" s="2319"/>
      <c r="F55" s="2320"/>
      <c r="H55" s="1756"/>
      <c r="M55" s="266"/>
      <c r="N55" s="266"/>
      <c r="O55" s="266"/>
    </row>
    <row r="56" spans="1:15" ht="24">
      <c r="A56" s="84"/>
      <c r="B56" s="133" t="s">
        <v>76</v>
      </c>
      <c r="C56" s="2315"/>
      <c r="D56" s="2316"/>
      <c r="E56" s="2316"/>
      <c r="F56" s="2317"/>
      <c r="M56" s="266"/>
      <c r="N56" s="266"/>
      <c r="O56" s="266"/>
    </row>
    <row r="57" spans="1:15">
      <c r="A57" s="83" t="s">
        <v>28</v>
      </c>
      <c r="B57" s="68"/>
      <c r="C57" s="64"/>
      <c r="D57" s="252"/>
      <c r="E57" s="283"/>
      <c r="F57" s="284">
        <f>ROUND(E57*D57,2)</f>
        <v>0</v>
      </c>
      <c r="M57" s="266"/>
      <c r="N57" s="266"/>
      <c r="O57" s="266"/>
    </row>
    <row r="58" spans="1:15">
      <c r="A58" s="83" t="s">
        <v>29</v>
      </c>
      <c r="B58" s="68"/>
      <c r="C58" s="64"/>
      <c r="D58" s="252"/>
      <c r="E58" s="283"/>
      <c r="F58" s="284">
        <f>ROUND(E58*D58,2)</f>
        <v>0</v>
      </c>
      <c r="M58" s="266"/>
      <c r="N58" s="266"/>
      <c r="O58" s="266"/>
    </row>
    <row r="59" spans="1:15">
      <c r="A59" s="83" t="s">
        <v>306</v>
      </c>
      <c r="B59" s="65"/>
      <c r="C59" s="64"/>
      <c r="D59" s="252"/>
      <c r="E59" s="399"/>
      <c r="F59" s="284">
        <f>ROUND(E59*D59,2)</f>
        <v>0</v>
      </c>
      <c r="M59" s="266"/>
      <c r="N59" s="266"/>
      <c r="O59" s="266"/>
    </row>
    <row r="60" spans="1:15">
      <c r="A60" s="83" t="s">
        <v>307</v>
      </c>
      <c r="B60" s="94"/>
      <c r="C60" s="64"/>
      <c r="D60" s="252"/>
      <c r="E60" s="95"/>
      <c r="F60" s="356">
        <f>(F8*2*43.67+F8*2/35*1363.03)*D60</f>
        <v>0</v>
      </c>
      <c r="M60" s="266"/>
      <c r="N60" s="266"/>
      <c r="O60" s="266"/>
    </row>
    <row r="61" spans="1:15">
      <c r="A61" s="83"/>
      <c r="B61" s="121" t="s">
        <v>83</v>
      </c>
      <c r="C61" s="65"/>
      <c r="D61" s="248"/>
      <c r="E61" s="248"/>
      <c r="F61" s="271">
        <f>SUM(F57:F60)</f>
        <v>0</v>
      </c>
      <c r="M61" s="266"/>
      <c r="N61" s="266"/>
    </row>
    <row r="62" spans="1:15">
      <c r="A62" s="84" t="s">
        <v>30</v>
      </c>
      <c r="B62" s="2342" t="s">
        <v>87</v>
      </c>
      <c r="C62" s="2342"/>
      <c r="D62" s="2342"/>
      <c r="E62" s="2342"/>
      <c r="F62" s="2343"/>
      <c r="M62" s="266"/>
      <c r="N62" s="266"/>
      <c r="O62" s="266"/>
    </row>
    <row r="63" spans="1:15">
      <c r="A63" s="84"/>
      <c r="B63" s="133" t="s">
        <v>88</v>
      </c>
      <c r="C63" s="2354"/>
      <c r="D63" s="2354"/>
      <c r="E63" s="2354"/>
      <c r="F63" s="2355"/>
      <c r="M63" s="266"/>
      <c r="N63" s="266"/>
      <c r="O63" s="266"/>
    </row>
    <row r="64" spans="1:15">
      <c r="A64" s="83" t="s">
        <v>78</v>
      </c>
      <c r="B64" s="68"/>
      <c r="C64" s="64"/>
      <c r="D64" s="252"/>
      <c r="E64" s="297"/>
      <c r="F64" s="284">
        <f>ROUND(E64*D64,2)</f>
        <v>0</v>
      </c>
      <c r="M64" s="266"/>
      <c r="N64" s="266"/>
      <c r="O64" s="266"/>
    </row>
    <row r="65" spans="1:15">
      <c r="A65" s="83" t="s">
        <v>79</v>
      </c>
      <c r="B65" s="68"/>
      <c r="C65" s="64"/>
      <c r="D65" s="252"/>
      <c r="E65" s="297"/>
      <c r="F65" s="284">
        <f>ROUND(E65*D65,2)</f>
        <v>0</v>
      </c>
      <c r="M65" s="266"/>
      <c r="N65" s="266"/>
      <c r="O65" s="266"/>
    </row>
    <row r="66" spans="1:15">
      <c r="A66" s="83"/>
      <c r="B66" s="121" t="s">
        <v>146</v>
      </c>
      <c r="C66" s="65"/>
      <c r="D66" s="248"/>
      <c r="E66" s="248"/>
      <c r="F66" s="271">
        <f>SUM(F64:F65)</f>
        <v>0</v>
      </c>
      <c r="M66" s="266"/>
      <c r="N66" s="266"/>
    </row>
    <row r="67" spans="1:15">
      <c r="A67" s="70" t="s">
        <v>10</v>
      </c>
      <c r="B67" s="2342" t="s">
        <v>77</v>
      </c>
      <c r="C67" s="2342"/>
      <c r="D67" s="2342"/>
      <c r="E67" s="2342"/>
      <c r="F67" s="2343"/>
      <c r="M67" s="266"/>
      <c r="N67" s="266"/>
    </row>
    <row r="68" spans="1:15">
      <c r="A68" s="186" t="s">
        <v>108</v>
      </c>
      <c r="B68" s="264"/>
      <c r="C68" s="296"/>
      <c r="D68" s="296"/>
      <c r="E68" s="287"/>
      <c r="F68" s="299">
        <f>ROUND(D68*E68,2)</f>
        <v>0</v>
      </c>
      <c r="M68" s="266"/>
      <c r="N68" s="266"/>
    </row>
    <row r="69" spans="1:15">
      <c r="A69" s="186" t="s">
        <v>109</v>
      </c>
      <c r="B69" s="265"/>
      <c r="C69" s="296"/>
      <c r="D69" s="296"/>
      <c r="E69" s="287"/>
      <c r="F69" s="299">
        <f>ROUND(D69*E69,2)</f>
        <v>0</v>
      </c>
      <c r="M69" s="266"/>
      <c r="N69" s="266"/>
    </row>
    <row r="70" spans="1:15">
      <c r="A70" s="83"/>
      <c r="B70" s="251" t="s">
        <v>86</v>
      </c>
      <c r="C70" s="252"/>
      <c r="D70" s="252"/>
      <c r="E70" s="297"/>
      <c r="F70" s="271">
        <f>SUM(F68:F69)</f>
        <v>0</v>
      </c>
      <c r="M70" s="266"/>
      <c r="N70" s="266"/>
    </row>
    <row r="71" spans="1:15">
      <c r="A71" s="83" t="s">
        <v>12</v>
      </c>
      <c r="B71" s="63" t="s">
        <v>147</v>
      </c>
      <c r="C71" s="65"/>
      <c r="D71" s="65"/>
      <c r="E71" s="65"/>
      <c r="F71" s="276">
        <f>F15+F20+F54+F61+F66+F70</f>
        <v>0</v>
      </c>
      <c r="M71" s="266"/>
      <c r="N71" s="266"/>
      <c r="O71" s="266"/>
    </row>
    <row r="72" spans="1:15">
      <c r="A72" s="85" t="s">
        <v>13</v>
      </c>
      <c r="B72" s="288" t="s">
        <v>1276</v>
      </c>
      <c r="C72" s="95"/>
      <c r="D72" s="65"/>
      <c r="E72" s="65"/>
      <c r="F72" s="271">
        <f>ROUND(F15*0.58,2)</f>
        <v>0</v>
      </c>
      <c r="M72" s="266"/>
      <c r="N72" s="266"/>
      <c r="O72" s="266"/>
    </row>
    <row r="73" spans="1:15">
      <c r="A73" s="85" t="s">
        <v>325</v>
      </c>
      <c r="B73" s="288" t="s">
        <v>1277</v>
      </c>
      <c r="C73" s="95"/>
      <c r="D73" s="65"/>
      <c r="E73" s="65"/>
      <c r="F73" s="276">
        <f>ROUND(F15*0.32,2)</f>
        <v>0</v>
      </c>
      <c r="M73" s="266"/>
      <c r="N73" s="266"/>
      <c r="O73" s="266"/>
    </row>
    <row r="74" spans="1:15">
      <c r="A74" s="86"/>
      <c r="B74" s="99" t="s">
        <v>26</v>
      </c>
      <c r="C74" s="73"/>
      <c r="D74" s="73"/>
      <c r="E74" s="73"/>
      <c r="F74" s="277">
        <f>ROUND((F71+F72+F73),2)</f>
        <v>0</v>
      </c>
      <c r="M74" s="266"/>
      <c r="N74" s="266"/>
      <c r="O74" s="266"/>
    </row>
    <row r="75" spans="1:15">
      <c r="A75" s="86"/>
      <c r="B75" s="99" t="s">
        <v>401</v>
      </c>
      <c r="C75" s="73"/>
      <c r="D75" s="73"/>
      <c r="E75" s="73"/>
      <c r="F75" s="277">
        <f>ROUND((F74*0.2),2)</f>
        <v>0</v>
      </c>
      <c r="M75" s="266"/>
      <c r="N75" s="266"/>
      <c r="O75" s="266"/>
    </row>
    <row r="76" spans="1:15" ht="15.75" thickBot="1">
      <c r="A76" s="87"/>
      <c r="B76" s="100" t="s">
        <v>31</v>
      </c>
      <c r="C76" s="75"/>
      <c r="D76" s="75"/>
      <c r="E76" s="75"/>
      <c r="F76" s="278">
        <f>F74+F75</f>
        <v>0</v>
      </c>
      <c r="L76" s="266"/>
      <c r="M76" s="266"/>
      <c r="N76" s="266"/>
      <c r="O76" s="266"/>
    </row>
    <row r="77" spans="1:15">
      <c r="A77" s="88"/>
    </row>
    <row r="78" spans="1:15" ht="29.25" customHeight="1">
      <c r="A78" s="88"/>
      <c r="B78" s="259" t="e">
        <f>'№5.1Демонтаж БУ'!B76</f>
        <v>#REF!</v>
      </c>
      <c r="C78" s="10"/>
      <c r="D78" s="104"/>
      <c r="E78" s="2329" t="e">
        <f>'№5.1Демонтаж БУ'!F76</f>
        <v>#REF!</v>
      </c>
      <c r="F78" s="2329"/>
    </row>
    <row r="79" spans="1:15">
      <c r="A79" s="88"/>
      <c r="B79" s="103" t="s">
        <v>126</v>
      </c>
      <c r="C79" s="10"/>
      <c r="D79" s="106" t="s">
        <v>124</v>
      </c>
      <c r="E79" s="101" t="s">
        <v>127</v>
      </c>
      <c r="F79" s="101"/>
    </row>
    <row r="80" spans="1:15">
      <c r="A80" s="88"/>
    </row>
    <row r="81" spans="1:7">
      <c r="A81" s="88"/>
    </row>
    <row r="82" spans="1:7">
      <c r="A82" s="88"/>
    </row>
    <row r="83" spans="1:7">
      <c r="A83" s="88"/>
    </row>
    <row r="84" spans="1:7">
      <c r="A84" s="88"/>
    </row>
    <row r="85" spans="1:7">
      <c r="A85" s="2284" t="s">
        <v>590</v>
      </c>
      <c r="B85" s="2284"/>
      <c r="C85" s="2284"/>
      <c r="D85" s="2284"/>
      <c r="E85" s="2284"/>
      <c r="F85" s="2284"/>
    </row>
    <row r="86" spans="1:7" ht="15.75" thickBot="1">
      <c r="A86" s="26"/>
      <c r="B86" s="26"/>
      <c r="C86" s="26"/>
      <c r="D86" s="26"/>
      <c r="E86" s="26"/>
      <c r="F86" s="26"/>
    </row>
    <row r="87" spans="1:7" s="1" customFormat="1" ht="30" thickTop="1" thickBot="1">
      <c r="A87" s="125" t="s">
        <v>595</v>
      </c>
      <c r="B87" s="508"/>
      <c r="C87" s="509"/>
      <c r="D87" s="495"/>
      <c r="E87" s="509"/>
      <c r="F87" s="509"/>
      <c r="G87" s="125"/>
    </row>
    <row r="88" spans="1:7" ht="15.75" thickTop="1">
      <c r="A88" s="2322" t="s">
        <v>140</v>
      </c>
      <c r="B88" s="2322"/>
      <c r="C88" s="2323"/>
      <c r="D88" s="2323"/>
      <c r="E88" s="2323"/>
      <c r="F88" s="2323"/>
    </row>
    <row r="89" spans="1:7" ht="15.75" thickBot="1">
      <c r="A89" s="2324" t="s">
        <v>139</v>
      </c>
      <c r="B89" s="2324"/>
      <c r="C89" s="2325" t="s">
        <v>143</v>
      </c>
      <c r="D89" s="2325"/>
      <c r="E89" s="2325"/>
      <c r="F89" s="2325"/>
    </row>
    <row r="90" spans="1:7" s="58" customFormat="1" ht="17.25" thickTop="1" thickBot="1">
      <c r="A90" s="2290" t="s">
        <v>396</v>
      </c>
      <c r="B90" s="2290"/>
      <c r="C90" s="388" t="s">
        <v>84</v>
      </c>
      <c r="D90" s="495"/>
      <c r="E90" s="388"/>
      <c r="F90" s="388"/>
      <c r="G90" s="388"/>
    </row>
    <row r="91" spans="1:7" ht="16.5" thickTop="1" thickBot="1">
      <c r="A91" s="2327"/>
      <c r="B91" s="2327"/>
      <c r="C91" s="2327"/>
      <c r="D91" s="2327"/>
      <c r="E91" s="2327"/>
      <c r="F91" s="2327"/>
    </row>
    <row r="92" spans="1:7" ht="45">
      <c r="A92" s="90" t="s">
        <v>14</v>
      </c>
      <c r="B92" s="91" t="s">
        <v>15</v>
      </c>
      <c r="C92" s="91" t="s">
        <v>2</v>
      </c>
      <c r="D92" s="91" t="s">
        <v>16</v>
      </c>
      <c r="E92" s="91" t="s">
        <v>32</v>
      </c>
      <c r="F92" s="92" t="s">
        <v>33</v>
      </c>
    </row>
    <row r="93" spans="1:7">
      <c r="A93" s="79">
        <v>1</v>
      </c>
      <c r="B93" s="80">
        <v>2</v>
      </c>
      <c r="C93" s="80">
        <v>3</v>
      </c>
      <c r="D93" s="80">
        <v>4</v>
      </c>
      <c r="E93" s="80">
        <v>5</v>
      </c>
      <c r="F93" s="81">
        <v>6</v>
      </c>
    </row>
    <row r="94" spans="1:7">
      <c r="A94" s="89" t="s">
        <v>4</v>
      </c>
      <c r="B94" s="2342" t="s">
        <v>53</v>
      </c>
      <c r="C94" s="2342"/>
      <c r="D94" s="2342"/>
      <c r="E94" s="2342"/>
      <c r="F94" s="2343"/>
    </row>
    <row r="95" spans="1:7" ht="24">
      <c r="A95" s="89"/>
      <c r="B95" s="133" t="s">
        <v>150</v>
      </c>
      <c r="C95" s="2354"/>
      <c r="D95" s="2354"/>
      <c r="E95" s="2354"/>
      <c r="F95" s="2355"/>
    </row>
    <row r="96" spans="1:7">
      <c r="A96" s="67" t="s">
        <v>24</v>
      </c>
      <c r="B96" s="250"/>
      <c r="C96" s="64" t="s">
        <v>172</v>
      </c>
      <c r="D96" s="245"/>
      <c r="E96" s="246"/>
      <c r="F96" s="290">
        <f>ROUND(E96*D96,2)</f>
        <v>0</v>
      </c>
    </row>
    <row r="97" spans="1:6">
      <c r="A97" s="67" t="s">
        <v>25</v>
      </c>
      <c r="B97" s="250"/>
      <c r="C97" s="64" t="s">
        <v>172</v>
      </c>
      <c r="D97" s="245"/>
      <c r="E97" s="246"/>
      <c r="F97" s="290">
        <f t="shared" ref="F97:F104" si="1">ROUND(E97*D97,2)</f>
        <v>0</v>
      </c>
    </row>
    <row r="98" spans="1:6">
      <c r="A98" s="67" t="s">
        <v>68</v>
      </c>
      <c r="B98" s="250"/>
      <c r="C98" s="64" t="s">
        <v>172</v>
      </c>
      <c r="D98" s="245"/>
      <c r="E98" s="246"/>
      <c r="F98" s="290">
        <f t="shared" si="1"/>
        <v>0</v>
      </c>
    </row>
    <row r="99" spans="1:6">
      <c r="A99" s="67" t="s">
        <v>276</v>
      </c>
      <c r="B99" s="385"/>
      <c r="C99" s="64" t="s">
        <v>172</v>
      </c>
      <c r="D99" s="245"/>
      <c r="E99" s="246"/>
      <c r="F99" s="290">
        <f t="shared" si="1"/>
        <v>0</v>
      </c>
    </row>
    <row r="100" spans="1:6">
      <c r="A100" s="67" t="s">
        <v>277</v>
      </c>
      <c r="B100" s="250"/>
      <c r="C100" s="64" t="s">
        <v>172</v>
      </c>
      <c r="D100" s="245"/>
      <c r="E100" s="246"/>
      <c r="F100" s="290">
        <f t="shared" si="1"/>
        <v>0</v>
      </c>
    </row>
    <row r="101" spans="1:6">
      <c r="A101" s="67" t="s">
        <v>278</v>
      </c>
      <c r="B101" s="250"/>
      <c r="C101" s="64" t="s">
        <v>172</v>
      </c>
      <c r="D101" s="245"/>
      <c r="E101" s="246"/>
      <c r="F101" s="290">
        <f t="shared" si="1"/>
        <v>0</v>
      </c>
    </row>
    <row r="102" spans="1:6">
      <c r="A102" s="439" t="s">
        <v>279</v>
      </c>
      <c r="B102" s="385"/>
      <c r="C102" s="408" t="s">
        <v>172</v>
      </c>
      <c r="D102" s="473"/>
      <c r="E102" s="246"/>
      <c r="F102" s="474">
        <f t="shared" si="1"/>
        <v>0</v>
      </c>
    </row>
    <row r="103" spans="1:6">
      <c r="A103" s="67" t="s">
        <v>280</v>
      </c>
      <c r="B103" s="250"/>
      <c r="C103" s="64" t="s">
        <v>172</v>
      </c>
      <c r="D103" s="245"/>
      <c r="E103" s="246"/>
      <c r="F103" s="290">
        <f t="shared" si="1"/>
        <v>0</v>
      </c>
    </row>
    <row r="104" spans="1:6">
      <c r="A104" s="67" t="s">
        <v>281</v>
      </c>
      <c r="B104" s="250"/>
      <c r="C104" s="64" t="s">
        <v>172</v>
      </c>
      <c r="D104" s="245"/>
      <c r="E104" s="246"/>
      <c r="F104" s="290">
        <f t="shared" si="1"/>
        <v>0</v>
      </c>
    </row>
    <row r="105" spans="1:6">
      <c r="A105" s="83"/>
      <c r="B105" s="121" t="s">
        <v>81</v>
      </c>
      <c r="C105" s="65"/>
      <c r="D105" s="248"/>
      <c r="E105" s="248"/>
      <c r="F105" s="271">
        <f>SUM(F96:F104)</f>
        <v>0</v>
      </c>
    </row>
    <row r="106" spans="1:6">
      <c r="A106" s="84" t="s">
        <v>5</v>
      </c>
      <c r="B106" s="2342" t="s">
        <v>89</v>
      </c>
      <c r="C106" s="2342"/>
      <c r="D106" s="2342"/>
      <c r="E106" s="2342"/>
      <c r="F106" s="2343"/>
    </row>
    <row r="107" spans="1:6">
      <c r="A107" s="84"/>
      <c r="B107" s="133" t="s">
        <v>73</v>
      </c>
      <c r="C107" s="2352" t="s">
        <v>327</v>
      </c>
      <c r="D107" s="2352"/>
      <c r="E107" s="2352"/>
      <c r="F107" s="2353"/>
    </row>
    <row r="108" spans="1:6">
      <c r="A108" s="83" t="s">
        <v>18</v>
      </c>
      <c r="B108" s="68"/>
      <c r="C108" s="64" t="s">
        <v>163</v>
      </c>
      <c r="D108" s="248"/>
      <c r="E108" s="248"/>
      <c r="F108" s="637">
        <f t="shared" ref="F108:F113" si="2">ROUND(E108*D108,2)</f>
        <v>0</v>
      </c>
    </row>
    <row r="109" spans="1:6">
      <c r="A109" s="83" t="s">
        <v>19</v>
      </c>
      <c r="B109" s="68"/>
      <c r="C109" s="64" t="s">
        <v>84</v>
      </c>
      <c r="D109" s="248"/>
      <c r="E109" s="248"/>
      <c r="F109" s="637">
        <f t="shared" si="2"/>
        <v>0</v>
      </c>
    </row>
    <row r="110" spans="1:6">
      <c r="A110" s="83" t="s">
        <v>402</v>
      </c>
      <c r="B110" s="68"/>
      <c r="C110" s="64" t="s">
        <v>84</v>
      </c>
      <c r="D110" s="248"/>
      <c r="E110" s="248"/>
      <c r="F110" s="637">
        <f t="shared" si="2"/>
        <v>0</v>
      </c>
    </row>
    <row r="111" spans="1:6">
      <c r="A111" s="83" t="s">
        <v>403</v>
      </c>
      <c r="B111" s="68"/>
      <c r="C111" s="64" t="s">
        <v>84</v>
      </c>
      <c r="D111" s="248"/>
      <c r="E111" s="248"/>
      <c r="F111" s="637">
        <f t="shared" si="2"/>
        <v>0</v>
      </c>
    </row>
    <row r="112" spans="1:6">
      <c r="A112" s="83" t="s">
        <v>404</v>
      </c>
      <c r="B112" s="68"/>
      <c r="C112" s="64" t="s">
        <v>84</v>
      </c>
      <c r="D112" s="248"/>
      <c r="E112" s="248"/>
      <c r="F112" s="637">
        <f t="shared" si="2"/>
        <v>0</v>
      </c>
    </row>
    <row r="113" spans="1:6">
      <c r="A113" s="649" t="s">
        <v>19</v>
      </c>
      <c r="B113" s="215"/>
      <c r="C113" s="408" t="s">
        <v>62</v>
      </c>
      <c r="D113" s="638"/>
      <c r="E113" s="638"/>
      <c r="F113" s="299">
        <f t="shared" si="2"/>
        <v>0</v>
      </c>
    </row>
    <row r="114" spans="1:6">
      <c r="A114" s="83"/>
      <c r="B114" s="121" t="s">
        <v>144</v>
      </c>
      <c r="C114" s="65"/>
      <c r="D114" s="248"/>
      <c r="E114" s="248"/>
      <c r="F114" s="271">
        <f>SUM(F108:F113)</f>
        <v>0</v>
      </c>
    </row>
    <row r="115" spans="1:6">
      <c r="A115" s="84" t="s">
        <v>21</v>
      </c>
      <c r="B115" s="2342" t="s">
        <v>17</v>
      </c>
      <c r="C115" s="2342"/>
      <c r="D115" s="2342"/>
      <c r="E115" s="2342"/>
      <c r="F115" s="2343"/>
    </row>
    <row r="116" spans="1:6">
      <c r="A116" s="84"/>
      <c r="B116" s="133" t="s">
        <v>85</v>
      </c>
      <c r="C116" s="2354"/>
      <c r="D116" s="2354"/>
      <c r="E116" s="2354"/>
      <c r="F116" s="2355"/>
    </row>
    <row r="117" spans="1:6">
      <c r="A117" s="83" t="s">
        <v>22</v>
      </c>
      <c r="B117" s="257"/>
      <c r="C117" s="281" t="s">
        <v>299</v>
      </c>
      <c r="D117" s="255"/>
      <c r="E117" s="283"/>
      <c r="F117" s="284">
        <f>ROUND(E117*D117,2)</f>
        <v>0</v>
      </c>
    </row>
    <row r="118" spans="1:6">
      <c r="A118" s="83" t="s">
        <v>121</v>
      </c>
      <c r="B118" s="257"/>
      <c r="C118" s="281" t="s">
        <v>299</v>
      </c>
      <c r="D118" s="255"/>
      <c r="E118" s="283"/>
      <c r="F118" s="284">
        <f>ROUND(E118*D118,2)</f>
        <v>0</v>
      </c>
    </row>
    <row r="119" spans="1:6">
      <c r="A119" s="83" t="s">
        <v>122</v>
      </c>
      <c r="B119" s="257"/>
      <c r="C119" s="255" t="s">
        <v>289</v>
      </c>
      <c r="D119" s="255"/>
      <c r="E119" s="283"/>
      <c r="F119" s="284">
        <f>ROUND(E119*D119,2)</f>
        <v>0</v>
      </c>
    </row>
    <row r="120" spans="1:6">
      <c r="A120" s="83" t="s">
        <v>123</v>
      </c>
      <c r="B120" s="282"/>
      <c r="C120" s="255" t="s">
        <v>98</v>
      </c>
      <c r="D120" s="477"/>
      <c r="E120" s="279"/>
      <c r="F120" s="284">
        <f>ROUND(E120*D120,2)</f>
        <v>0</v>
      </c>
    </row>
    <row r="121" spans="1:6">
      <c r="A121" s="83"/>
      <c r="B121" s="121" t="s">
        <v>82</v>
      </c>
      <c r="C121" s="65"/>
      <c r="D121" s="248"/>
      <c r="E121" s="248"/>
      <c r="F121" s="271">
        <f>SUM(F117:F120)</f>
        <v>0</v>
      </c>
    </row>
    <row r="122" spans="1:6">
      <c r="A122" s="84" t="s">
        <v>27</v>
      </c>
      <c r="B122" s="2342" t="s">
        <v>145</v>
      </c>
      <c r="C122" s="2342"/>
      <c r="D122" s="2342"/>
      <c r="E122" s="2342"/>
      <c r="F122" s="2343"/>
    </row>
    <row r="123" spans="1:6" ht="24">
      <c r="A123" s="84"/>
      <c r="B123" s="133" t="s">
        <v>76</v>
      </c>
      <c r="C123" s="2354"/>
      <c r="D123" s="2354"/>
      <c r="E123" s="2354"/>
      <c r="F123" s="2355"/>
    </row>
    <row r="124" spans="1:6">
      <c r="A124" s="83" t="s">
        <v>28</v>
      </c>
      <c r="B124" s="400"/>
      <c r="C124" s="262" t="s">
        <v>163</v>
      </c>
      <c r="D124" s="381"/>
      <c r="E124" s="283"/>
      <c r="F124" s="284">
        <f>ROUND(E124*D124,2)</f>
        <v>0</v>
      </c>
    </row>
    <row r="125" spans="1:6">
      <c r="A125" s="83" t="s">
        <v>29</v>
      </c>
      <c r="B125" s="257"/>
      <c r="C125" s="255" t="s">
        <v>163</v>
      </c>
      <c r="D125" s="285"/>
      <c r="E125" s="283"/>
      <c r="F125" s="284">
        <f>ROUND(E125*D125,2)</f>
        <v>0</v>
      </c>
    </row>
    <row r="126" spans="1:6">
      <c r="A126" s="83" t="s">
        <v>306</v>
      </c>
      <c r="B126" s="237"/>
      <c r="C126" s="255" t="s">
        <v>163</v>
      </c>
      <c r="D126" s="285"/>
      <c r="E126" s="283"/>
      <c r="F126" s="284">
        <f>ROUND(E126*D126,2)</f>
        <v>0</v>
      </c>
    </row>
    <row r="127" spans="1:6">
      <c r="A127" s="83" t="s">
        <v>307</v>
      </c>
      <c r="B127" s="236"/>
      <c r="C127" s="255" t="s">
        <v>163</v>
      </c>
      <c r="D127" s="285"/>
      <c r="E127" s="283"/>
      <c r="F127" s="284">
        <f>ROUND(E127*D127,2)</f>
        <v>0</v>
      </c>
    </row>
    <row r="128" spans="1:6">
      <c r="A128" s="83"/>
      <c r="B128" s="121" t="s">
        <v>83</v>
      </c>
      <c r="C128" s="65"/>
      <c r="D128" s="248"/>
      <c r="E128" s="248"/>
      <c r="F128" s="271">
        <f>SUM(F124:F127)</f>
        <v>0</v>
      </c>
    </row>
    <row r="129" spans="1:6">
      <c r="A129" s="84" t="s">
        <v>30</v>
      </c>
      <c r="B129" s="2342" t="s">
        <v>87</v>
      </c>
      <c r="C129" s="2342"/>
      <c r="D129" s="2342"/>
      <c r="E129" s="2342"/>
      <c r="F129" s="2343"/>
    </row>
    <row r="130" spans="1:6">
      <c r="A130" s="84"/>
      <c r="B130" s="133" t="s">
        <v>88</v>
      </c>
      <c r="C130" s="2354"/>
      <c r="D130" s="2354"/>
      <c r="E130" s="2354"/>
      <c r="F130" s="2355"/>
    </row>
    <row r="131" spans="1:6">
      <c r="A131" s="83" t="s">
        <v>78</v>
      </c>
      <c r="B131" s="257"/>
      <c r="C131" s="255" t="s">
        <v>63</v>
      </c>
      <c r="D131" s="255"/>
      <c r="E131" s="255"/>
      <c r="F131" s="284">
        <f t="shared" ref="F131:F136" si="3">ROUND(E131*D131,2)</f>
        <v>0</v>
      </c>
    </row>
    <row r="132" spans="1:6">
      <c r="A132" s="83" t="s">
        <v>79</v>
      </c>
      <c r="B132" s="257"/>
      <c r="C132" s="255" t="s">
        <v>63</v>
      </c>
      <c r="D132" s="255"/>
      <c r="E132" s="255"/>
      <c r="F132" s="284">
        <f t="shared" si="3"/>
        <v>0</v>
      </c>
    </row>
    <row r="133" spans="1:6">
      <c r="A133" s="83" t="s">
        <v>309</v>
      </c>
      <c r="B133" s="257"/>
      <c r="C133" s="255" t="s">
        <v>63</v>
      </c>
      <c r="D133" s="255"/>
      <c r="E133" s="255"/>
      <c r="F133" s="284">
        <f t="shared" si="3"/>
        <v>0</v>
      </c>
    </row>
    <row r="134" spans="1:6">
      <c r="A134" s="83" t="s">
        <v>310</v>
      </c>
      <c r="B134" s="257"/>
      <c r="C134" s="255" t="s">
        <v>63</v>
      </c>
      <c r="D134" s="255"/>
      <c r="E134" s="255"/>
      <c r="F134" s="284">
        <f t="shared" si="3"/>
        <v>0</v>
      </c>
    </row>
    <row r="135" spans="1:6">
      <c r="A135" s="83" t="s">
        <v>311</v>
      </c>
      <c r="B135" s="257"/>
      <c r="C135" s="255" t="s">
        <v>312</v>
      </c>
      <c r="D135" s="255"/>
      <c r="E135" s="255"/>
      <c r="F135" s="284">
        <f t="shared" si="3"/>
        <v>0</v>
      </c>
    </row>
    <row r="136" spans="1:6">
      <c r="A136" s="83" t="s">
        <v>313</v>
      </c>
      <c r="B136" s="257"/>
      <c r="C136" s="255" t="s">
        <v>63</v>
      </c>
      <c r="D136" s="255"/>
      <c r="E136" s="255"/>
      <c r="F136" s="284">
        <f t="shared" si="3"/>
        <v>0</v>
      </c>
    </row>
    <row r="137" spans="1:6">
      <c r="A137" s="83"/>
      <c r="B137" s="121" t="s">
        <v>146</v>
      </c>
      <c r="C137" s="65"/>
      <c r="D137" s="248"/>
      <c r="E137" s="248"/>
      <c r="F137" s="271">
        <f>SUM(F131:F136)</f>
        <v>0</v>
      </c>
    </row>
    <row r="138" spans="1:6">
      <c r="A138" s="83" t="s">
        <v>12</v>
      </c>
      <c r="B138" s="63" t="s">
        <v>147</v>
      </c>
      <c r="C138" s="65"/>
      <c r="D138" s="65"/>
      <c r="E138" s="65"/>
      <c r="F138" s="276">
        <f>F105+F114+F121+F128+F137</f>
        <v>0</v>
      </c>
    </row>
    <row r="139" spans="1:6">
      <c r="A139" s="85" t="s">
        <v>13</v>
      </c>
      <c r="B139" s="288" t="s">
        <v>136</v>
      </c>
      <c r="C139" s="95" t="s">
        <v>69</v>
      </c>
      <c r="D139" s="65"/>
      <c r="E139" s="65"/>
      <c r="F139" s="271">
        <f>ROUND(F105*1.34*0.58,2)</f>
        <v>0</v>
      </c>
    </row>
    <row r="140" spans="1:6">
      <c r="A140" s="85" t="s">
        <v>325</v>
      </c>
      <c r="B140" s="288" t="s">
        <v>138</v>
      </c>
      <c r="C140" s="95" t="s">
        <v>69</v>
      </c>
      <c r="D140" s="65"/>
      <c r="E140" s="65"/>
      <c r="F140" s="276">
        <f>ROUND(F105*0.32,2)</f>
        <v>0</v>
      </c>
    </row>
    <row r="141" spans="1:6">
      <c r="A141" s="86"/>
      <c r="B141" s="99" t="s">
        <v>26</v>
      </c>
      <c r="C141" s="73"/>
      <c r="D141" s="73"/>
      <c r="E141" s="73"/>
      <c r="F141" s="277">
        <f>ROUND((F138+F139+F140),2)</f>
        <v>0</v>
      </c>
    </row>
    <row r="142" spans="1:6">
      <c r="A142" s="86"/>
      <c r="B142" s="99" t="s">
        <v>401</v>
      </c>
      <c r="C142" s="73"/>
      <c r="D142" s="73"/>
      <c r="E142" s="73"/>
      <c r="F142" s="277">
        <f>ROUND((F141*0.2),2)</f>
        <v>0</v>
      </c>
    </row>
    <row r="143" spans="1:6" ht="15.75" thickBot="1">
      <c r="A143" s="87"/>
      <c r="B143" s="100" t="s">
        <v>31</v>
      </c>
      <c r="C143" s="75"/>
      <c r="D143" s="75"/>
      <c r="E143" s="75"/>
      <c r="F143" s="278">
        <f>F141+F142</f>
        <v>0</v>
      </c>
    </row>
    <row r="144" spans="1:6">
      <c r="A144" s="88"/>
    </row>
    <row r="145" spans="1:6" ht="41.25" customHeight="1">
      <c r="A145" s="88"/>
      <c r="B145" s="259" t="e">
        <f>'№2.2 Арт.скв.'!B26</f>
        <v>#REF!</v>
      </c>
      <c r="C145" s="10"/>
      <c r="D145" s="104"/>
      <c r="E145" s="2329" t="e">
        <f>'№2.2 Арт.скв.'!E26:F26</f>
        <v>#REF!</v>
      </c>
      <c r="F145" s="2329"/>
    </row>
    <row r="146" spans="1:6">
      <c r="A146" s="88"/>
      <c r="B146" s="103" t="s">
        <v>126</v>
      </c>
      <c r="C146" s="10"/>
      <c r="D146" s="106" t="s">
        <v>124</v>
      </c>
      <c r="E146" s="101" t="s">
        <v>127</v>
      </c>
      <c r="F146" s="101"/>
    </row>
    <row r="147" spans="1:6">
      <c r="B147" s="117"/>
      <c r="C147" s="117"/>
      <c r="D147" s="108"/>
      <c r="E147" s="117"/>
      <c r="F147" s="117"/>
    </row>
    <row r="148" spans="1:6">
      <c r="B148" s="2328"/>
      <c r="C148" s="2328"/>
      <c r="D148" s="108"/>
      <c r="E148" s="2294"/>
      <c r="F148" s="2294"/>
    </row>
  </sheetData>
  <mergeCells count="41">
    <mergeCell ref="B148:C148"/>
    <mergeCell ref="E148:F148"/>
    <mergeCell ref="E145:F145"/>
    <mergeCell ref="A85:F85"/>
    <mergeCell ref="A88:B88"/>
    <mergeCell ref="A89:B89"/>
    <mergeCell ref="B129:F129"/>
    <mergeCell ref="C130:F130"/>
    <mergeCell ref="C89:F89"/>
    <mergeCell ref="B115:F115"/>
    <mergeCell ref="C88:F88"/>
    <mergeCell ref="B106:F106"/>
    <mergeCell ref="C116:F116"/>
    <mergeCell ref="B122:F122"/>
    <mergeCell ref="C123:F123"/>
    <mergeCell ref="A90:B90"/>
    <mergeCell ref="A7:B7"/>
    <mergeCell ref="C7:F7"/>
    <mergeCell ref="B12:F12"/>
    <mergeCell ref="A9:F9"/>
    <mergeCell ref="C13:F13"/>
    <mergeCell ref="D1:F1"/>
    <mergeCell ref="A2:F2"/>
    <mergeCell ref="A3:F3"/>
    <mergeCell ref="A6:B6"/>
    <mergeCell ref="C6:F6"/>
    <mergeCell ref="A91:F91"/>
    <mergeCell ref="B94:F94"/>
    <mergeCell ref="C95:F95"/>
    <mergeCell ref="C107:F107"/>
    <mergeCell ref="A8:B8"/>
    <mergeCell ref="C17:F17"/>
    <mergeCell ref="C22:F22"/>
    <mergeCell ref="B16:F16"/>
    <mergeCell ref="B21:F21"/>
    <mergeCell ref="B55:F55"/>
    <mergeCell ref="C56:F56"/>
    <mergeCell ref="C63:F63"/>
    <mergeCell ref="B62:F62"/>
    <mergeCell ref="E78:F78"/>
    <mergeCell ref="B67:F67"/>
  </mergeCells>
  <phoneticPr fontId="17" type="noConversion"/>
  <pageMargins left="1.1811023622047245" right="0.39370078740157483" top="0.39370078740157483" bottom="0.39370078740157483" header="0" footer="0"/>
  <pageSetup paperSize="9" scale="7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U70"/>
  <sheetViews>
    <sheetView topLeftCell="A38" zoomScaleNormal="100" workbookViewId="0">
      <selection activeCell="E13" sqref="E13"/>
    </sheetView>
  </sheetViews>
  <sheetFormatPr defaultRowHeight="12.75"/>
  <cols>
    <col min="1" max="1" width="5.85546875" style="597" customWidth="1"/>
    <col min="2" max="2" width="36.42578125" style="525" customWidth="1"/>
    <col min="3" max="3" width="9.140625" style="525" customWidth="1"/>
    <col min="4" max="4" width="14.7109375" style="598" customWidth="1"/>
    <col min="5" max="5" width="12" style="525" customWidth="1"/>
    <col min="6" max="6" width="14.85546875" style="599" customWidth="1"/>
    <col min="7" max="7" width="9.140625" style="525" customWidth="1"/>
    <col min="8" max="14" width="9" style="525" customWidth="1"/>
    <col min="15" max="255" width="9.140625" style="525" customWidth="1"/>
  </cols>
  <sheetData>
    <row r="1" spans="1:255">
      <c r="A1" s="2366" t="s">
        <v>601</v>
      </c>
      <c r="B1" s="2366"/>
      <c r="C1" s="2366"/>
      <c r="D1" s="2366"/>
      <c r="E1" s="2366"/>
      <c r="F1" s="2366"/>
    </row>
    <row r="2" spans="1:255" ht="14.25">
      <c r="A2" s="2284" t="s">
        <v>602</v>
      </c>
      <c r="B2" s="2284"/>
      <c r="C2" s="2284"/>
      <c r="D2" s="2284"/>
      <c r="E2" s="2284"/>
      <c r="F2" s="2284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6"/>
      <c r="AM2" s="526"/>
      <c r="AN2" s="526"/>
      <c r="AO2" s="526"/>
      <c r="AP2" s="526"/>
      <c r="AQ2" s="526"/>
      <c r="AR2" s="526"/>
      <c r="AS2" s="526"/>
      <c r="AT2" s="526"/>
      <c r="AU2" s="526"/>
      <c r="AV2" s="526"/>
      <c r="AW2" s="526"/>
      <c r="AX2" s="526"/>
      <c r="AY2" s="526"/>
      <c r="AZ2" s="526"/>
      <c r="BA2" s="526"/>
      <c r="BB2" s="526"/>
      <c r="BC2" s="526"/>
      <c r="BD2" s="526"/>
      <c r="BE2" s="526"/>
      <c r="BF2" s="526"/>
      <c r="BG2" s="526"/>
      <c r="BH2" s="526"/>
      <c r="BI2" s="526"/>
      <c r="BJ2" s="526"/>
      <c r="BK2" s="526"/>
      <c r="BL2" s="526"/>
      <c r="BM2" s="526"/>
      <c r="BN2" s="526"/>
      <c r="BO2" s="526"/>
      <c r="BP2" s="526"/>
      <c r="BQ2" s="526"/>
      <c r="BR2" s="526"/>
      <c r="BS2" s="526"/>
      <c r="BT2" s="526"/>
      <c r="BU2" s="526"/>
      <c r="BV2" s="526"/>
      <c r="BW2" s="526"/>
      <c r="BX2" s="526"/>
      <c r="BY2" s="526"/>
      <c r="BZ2" s="526"/>
      <c r="CA2" s="526"/>
      <c r="CB2" s="526"/>
      <c r="CC2" s="526"/>
      <c r="CD2" s="526"/>
      <c r="CE2" s="526"/>
      <c r="CF2" s="526"/>
      <c r="CG2" s="526"/>
      <c r="CH2" s="526"/>
      <c r="CI2" s="526"/>
      <c r="CJ2" s="526"/>
      <c r="CK2" s="526"/>
      <c r="CL2" s="526"/>
      <c r="CM2" s="526"/>
      <c r="CN2" s="526"/>
      <c r="CO2" s="526"/>
      <c r="CP2" s="526"/>
      <c r="CQ2" s="526"/>
      <c r="CR2" s="526"/>
      <c r="CS2" s="526"/>
      <c r="CT2" s="526"/>
      <c r="CU2" s="526"/>
      <c r="CV2" s="526"/>
      <c r="CW2" s="526"/>
      <c r="CX2" s="526"/>
      <c r="CY2" s="526"/>
      <c r="CZ2" s="526"/>
      <c r="DA2" s="526"/>
      <c r="DB2" s="526"/>
      <c r="DC2" s="526"/>
      <c r="DD2" s="526"/>
      <c r="DE2" s="526"/>
      <c r="DF2" s="526"/>
      <c r="DG2" s="526"/>
      <c r="DH2" s="526"/>
      <c r="DI2" s="526"/>
      <c r="DJ2" s="526"/>
      <c r="DK2" s="526"/>
      <c r="DL2" s="526"/>
      <c r="DM2" s="526"/>
      <c r="DN2" s="526"/>
      <c r="DO2" s="526"/>
      <c r="DP2" s="526"/>
      <c r="DQ2" s="526"/>
      <c r="DR2" s="526"/>
      <c r="DS2" s="526"/>
      <c r="DT2" s="526"/>
      <c r="DU2" s="526"/>
      <c r="DV2" s="526"/>
      <c r="DW2" s="526"/>
      <c r="DX2" s="526"/>
      <c r="DY2" s="526"/>
      <c r="DZ2" s="526"/>
      <c r="EA2" s="526"/>
      <c r="EB2" s="526"/>
      <c r="EC2" s="526"/>
      <c r="ED2" s="526"/>
      <c r="EE2" s="526"/>
      <c r="EF2" s="526"/>
      <c r="EG2" s="526"/>
      <c r="EH2" s="526"/>
      <c r="EI2" s="526"/>
      <c r="EJ2" s="526"/>
      <c r="EK2" s="526"/>
      <c r="EL2" s="526"/>
      <c r="EM2" s="526"/>
      <c r="EN2" s="526"/>
      <c r="EO2" s="526"/>
      <c r="EP2" s="526"/>
      <c r="EQ2" s="526"/>
      <c r="ER2" s="526"/>
      <c r="ES2" s="526"/>
      <c r="ET2" s="526"/>
      <c r="EU2" s="526"/>
      <c r="EV2" s="526"/>
      <c r="EW2" s="526"/>
      <c r="EX2" s="526"/>
      <c r="EY2" s="526"/>
      <c r="EZ2" s="526"/>
      <c r="FA2" s="526"/>
      <c r="FB2" s="526"/>
      <c r="FC2" s="526"/>
      <c r="FD2" s="526"/>
      <c r="FE2" s="526"/>
      <c r="FF2" s="526"/>
      <c r="FG2" s="526"/>
      <c r="FH2" s="526"/>
      <c r="FI2" s="526"/>
      <c r="FJ2" s="526"/>
      <c r="FK2" s="526"/>
      <c r="FL2" s="526"/>
      <c r="FM2" s="526"/>
      <c r="FN2" s="526"/>
      <c r="FO2" s="526"/>
      <c r="FP2" s="526"/>
      <c r="FQ2" s="526"/>
      <c r="FR2" s="526"/>
      <c r="FS2" s="526"/>
      <c r="FT2" s="526"/>
      <c r="FU2" s="526"/>
      <c r="FV2" s="526"/>
      <c r="FW2" s="526"/>
      <c r="FX2" s="526"/>
      <c r="FY2" s="526"/>
      <c r="FZ2" s="526"/>
      <c r="GA2" s="526"/>
      <c r="GB2" s="526"/>
      <c r="GC2" s="526"/>
      <c r="GD2" s="526"/>
      <c r="GE2" s="526"/>
      <c r="GF2" s="526"/>
      <c r="GG2" s="526"/>
      <c r="GH2" s="526"/>
      <c r="GI2" s="526"/>
      <c r="GJ2" s="526"/>
      <c r="GK2" s="526"/>
      <c r="GL2" s="526"/>
      <c r="GM2" s="526"/>
      <c r="GN2" s="526"/>
      <c r="GO2" s="526"/>
      <c r="GP2" s="526"/>
      <c r="GQ2" s="526"/>
      <c r="GR2" s="526"/>
      <c r="GS2" s="526"/>
      <c r="GT2" s="526"/>
      <c r="GU2" s="526"/>
      <c r="GV2" s="526"/>
      <c r="GW2" s="526"/>
      <c r="GX2" s="526"/>
      <c r="GY2" s="526"/>
      <c r="GZ2" s="526"/>
      <c r="HA2" s="526"/>
      <c r="HB2" s="526"/>
      <c r="HC2" s="526"/>
      <c r="HD2" s="526"/>
      <c r="HE2" s="526"/>
      <c r="HF2" s="526"/>
      <c r="HG2" s="526"/>
      <c r="HH2" s="526"/>
      <c r="HI2" s="526"/>
      <c r="HJ2" s="526"/>
      <c r="HK2" s="526"/>
      <c r="HL2" s="526"/>
      <c r="HM2" s="526"/>
      <c r="HN2" s="526"/>
      <c r="HO2" s="526"/>
      <c r="HP2" s="526"/>
      <c r="HQ2" s="526"/>
      <c r="HR2" s="526"/>
      <c r="HS2" s="526"/>
      <c r="HT2" s="526"/>
      <c r="HU2" s="526"/>
      <c r="HV2" s="526"/>
      <c r="HW2" s="526"/>
      <c r="HX2" s="526"/>
      <c r="HY2" s="526"/>
      <c r="HZ2" s="526"/>
      <c r="IA2" s="526"/>
      <c r="IB2" s="526"/>
      <c r="IC2" s="526"/>
      <c r="ID2" s="526"/>
      <c r="IE2" s="526"/>
      <c r="IF2" s="526"/>
      <c r="IG2" s="526"/>
      <c r="IH2" s="526"/>
      <c r="II2" s="526"/>
      <c r="IJ2" s="526"/>
      <c r="IK2" s="526"/>
      <c r="IL2" s="526"/>
      <c r="IM2" s="526"/>
      <c r="IN2" s="526"/>
      <c r="IO2" s="526"/>
      <c r="IP2" s="526"/>
      <c r="IQ2" s="526"/>
      <c r="IR2" s="526"/>
      <c r="IS2" s="526"/>
      <c r="IT2" s="526"/>
      <c r="IU2" s="526"/>
    </row>
    <row r="3" spans="1:255">
      <c r="A3" s="527"/>
      <c r="B3" s="527"/>
      <c r="C3" s="527"/>
      <c r="D3" s="528"/>
      <c r="E3" s="527"/>
      <c r="F3" s="529"/>
    </row>
    <row r="4" spans="1:255" ht="15">
      <c r="A4" s="2367" t="s">
        <v>140</v>
      </c>
      <c r="B4" s="2367"/>
      <c r="C4" s="2368"/>
      <c r="D4" s="2368"/>
      <c r="E4" s="2368"/>
      <c r="F4" s="530"/>
      <c r="G4" s="531"/>
      <c r="H4" s="531"/>
      <c r="I4" s="531"/>
      <c r="J4" s="531"/>
      <c r="K4" s="531"/>
      <c r="L4" s="531"/>
      <c r="M4" s="531"/>
      <c r="N4" s="531"/>
      <c r="O4" s="531"/>
      <c r="P4" s="531"/>
      <c r="Q4" s="531"/>
      <c r="R4" s="531"/>
      <c r="S4" s="531"/>
      <c r="T4" s="531"/>
      <c r="U4" s="531"/>
      <c r="V4" s="531"/>
      <c r="W4" s="531"/>
      <c r="X4" s="531"/>
      <c r="Y4" s="531"/>
      <c r="Z4" s="531"/>
      <c r="AA4" s="531"/>
      <c r="AB4" s="531"/>
      <c r="AC4" s="531"/>
      <c r="AD4" s="531"/>
      <c r="AE4" s="531"/>
      <c r="AF4" s="531"/>
      <c r="AG4" s="531"/>
      <c r="AH4" s="531"/>
      <c r="AI4" s="531"/>
      <c r="AJ4" s="531"/>
      <c r="AK4" s="531"/>
      <c r="AL4" s="531"/>
      <c r="AM4" s="531"/>
      <c r="AN4" s="531"/>
      <c r="AO4" s="531"/>
      <c r="AP4" s="531"/>
      <c r="AQ4" s="531"/>
      <c r="AR4" s="531"/>
      <c r="AS4" s="531"/>
      <c r="AT4" s="531"/>
      <c r="AU4" s="531"/>
      <c r="AV4" s="531"/>
      <c r="AW4" s="531"/>
      <c r="AX4" s="531"/>
      <c r="AY4" s="531"/>
      <c r="AZ4" s="531"/>
      <c r="BA4" s="531"/>
      <c r="BB4" s="531"/>
      <c r="BC4" s="531"/>
      <c r="BD4" s="531"/>
      <c r="BE4" s="531"/>
      <c r="BF4" s="531"/>
      <c r="BG4" s="531"/>
      <c r="BH4" s="531"/>
      <c r="BI4" s="531"/>
      <c r="BJ4" s="531"/>
      <c r="BK4" s="531"/>
      <c r="BL4" s="531"/>
      <c r="BM4" s="531"/>
      <c r="BN4" s="531"/>
      <c r="BO4" s="531"/>
      <c r="BP4" s="531"/>
      <c r="BQ4" s="531"/>
      <c r="BR4" s="531"/>
      <c r="BS4" s="531"/>
      <c r="BT4" s="531"/>
      <c r="BU4" s="531"/>
      <c r="BV4" s="531"/>
      <c r="BW4" s="531"/>
      <c r="BX4" s="531"/>
      <c r="BY4" s="531"/>
      <c r="BZ4" s="531"/>
      <c r="CA4" s="531"/>
      <c r="CB4" s="531"/>
      <c r="CC4" s="531"/>
      <c r="CD4" s="531"/>
      <c r="CE4" s="531"/>
      <c r="CF4" s="531"/>
      <c r="CG4" s="531"/>
      <c r="CH4" s="531"/>
      <c r="CI4" s="531"/>
      <c r="CJ4" s="531"/>
      <c r="CK4" s="531"/>
      <c r="CL4" s="531"/>
      <c r="CM4" s="531"/>
      <c r="CN4" s="531"/>
      <c r="CO4" s="531"/>
      <c r="CP4" s="531"/>
      <c r="CQ4" s="531"/>
      <c r="CR4" s="531"/>
      <c r="CS4" s="531"/>
      <c r="CT4" s="531"/>
      <c r="CU4" s="531"/>
      <c r="CV4" s="531"/>
      <c r="CW4" s="531"/>
      <c r="CX4" s="531"/>
      <c r="CY4" s="531"/>
      <c r="CZ4" s="531"/>
      <c r="DA4" s="531"/>
      <c r="DB4" s="531"/>
      <c r="DC4" s="531"/>
      <c r="DD4" s="531"/>
      <c r="DE4" s="531"/>
      <c r="DF4" s="531"/>
      <c r="DG4" s="531"/>
      <c r="DH4" s="531"/>
      <c r="DI4" s="531"/>
      <c r="DJ4" s="531"/>
      <c r="DK4" s="531"/>
      <c r="DL4" s="531"/>
      <c r="DM4" s="531"/>
      <c r="DN4" s="531"/>
      <c r="DO4" s="531"/>
      <c r="DP4" s="531"/>
      <c r="DQ4" s="531"/>
      <c r="DR4" s="531"/>
      <c r="DS4" s="531"/>
      <c r="DT4" s="531"/>
      <c r="DU4" s="531"/>
      <c r="DV4" s="531"/>
      <c r="DW4" s="531"/>
      <c r="DX4" s="531"/>
      <c r="DY4" s="531"/>
      <c r="DZ4" s="531"/>
      <c r="EA4" s="531"/>
      <c r="EB4" s="531"/>
      <c r="EC4" s="531"/>
      <c r="ED4" s="531"/>
      <c r="EE4" s="531"/>
      <c r="EF4" s="531"/>
      <c r="EG4" s="531"/>
      <c r="EH4" s="531"/>
      <c r="EI4" s="531"/>
      <c r="EJ4" s="531"/>
      <c r="EK4" s="531"/>
      <c r="EL4" s="531"/>
      <c r="EM4" s="531"/>
      <c r="EN4" s="531"/>
      <c r="EO4" s="531"/>
      <c r="EP4" s="531"/>
      <c r="EQ4" s="531"/>
      <c r="ER4" s="531"/>
      <c r="ES4" s="531"/>
      <c r="ET4" s="531"/>
      <c r="EU4" s="531"/>
      <c r="EV4" s="531"/>
      <c r="EW4" s="531"/>
      <c r="EX4" s="531"/>
      <c r="EY4" s="531"/>
      <c r="EZ4" s="531"/>
      <c r="FA4" s="531"/>
      <c r="FB4" s="531"/>
      <c r="FC4" s="531"/>
      <c r="FD4" s="531"/>
      <c r="FE4" s="531"/>
      <c r="FF4" s="531"/>
      <c r="FG4" s="531"/>
      <c r="FH4" s="531"/>
      <c r="FI4" s="531"/>
      <c r="FJ4" s="531"/>
      <c r="FK4" s="531"/>
      <c r="FL4" s="531"/>
      <c r="FM4" s="531"/>
      <c r="FN4" s="531"/>
      <c r="FO4" s="531"/>
      <c r="FP4" s="531"/>
      <c r="FQ4" s="531"/>
      <c r="FR4" s="531"/>
      <c r="FS4" s="531"/>
      <c r="FT4" s="531"/>
      <c r="FU4" s="531"/>
      <c r="FV4" s="531"/>
      <c r="FW4" s="531"/>
      <c r="FX4" s="531"/>
      <c r="FY4" s="531"/>
      <c r="FZ4" s="531"/>
      <c r="GA4" s="531"/>
      <c r="GB4" s="531"/>
      <c r="GC4" s="531"/>
      <c r="GD4" s="531"/>
      <c r="GE4" s="531"/>
      <c r="GF4" s="531"/>
      <c r="GG4" s="531"/>
      <c r="GH4" s="531"/>
      <c r="GI4" s="531"/>
      <c r="GJ4" s="531"/>
      <c r="GK4" s="531"/>
      <c r="GL4" s="531"/>
      <c r="GM4" s="531"/>
      <c r="GN4" s="531"/>
      <c r="GO4" s="531"/>
      <c r="GP4" s="531"/>
      <c r="GQ4" s="531"/>
      <c r="GR4" s="531"/>
      <c r="GS4" s="531"/>
      <c r="GT4" s="531"/>
      <c r="GU4" s="531"/>
      <c r="GV4" s="531"/>
      <c r="GW4" s="531"/>
      <c r="GX4" s="531"/>
      <c r="GY4" s="531"/>
      <c r="GZ4" s="531"/>
      <c r="HA4" s="531"/>
      <c r="HB4" s="531"/>
      <c r="HC4" s="531"/>
      <c r="HD4" s="531"/>
      <c r="HE4" s="531"/>
      <c r="HF4" s="531"/>
      <c r="HG4" s="531"/>
      <c r="HH4" s="531"/>
      <c r="HI4" s="531"/>
      <c r="HJ4" s="531"/>
      <c r="HK4" s="531"/>
      <c r="HL4" s="531"/>
      <c r="HM4" s="531"/>
      <c r="HN4" s="531"/>
      <c r="HO4" s="531"/>
      <c r="HP4" s="531"/>
      <c r="HQ4" s="531"/>
      <c r="HR4" s="531"/>
      <c r="HS4" s="531"/>
      <c r="HT4" s="531"/>
      <c r="HU4" s="531"/>
      <c r="HV4" s="531"/>
      <c r="HW4" s="531"/>
      <c r="HX4" s="531"/>
      <c r="HY4" s="531"/>
      <c r="HZ4" s="531"/>
      <c r="IA4" s="531"/>
      <c r="IB4" s="531"/>
      <c r="IC4" s="531"/>
      <c r="ID4" s="531"/>
      <c r="IE4" s="531"/>
      <c r="IF4" s="531"/>
      <c r="IG4" s="531"/>
      <c r="IH4" s="531"/>
      <c r="II4" s="531"/>
      <c r="IJ4" s="531"/>
      <c r="IK4" s="531"/>
      <c r="IL4" s="531"/>
      <c r="IM4" s="531"/>
      <c r="IN4" s="531"/>
      <c r="IO4" s="531"/>
      <c r="IP4" s="531"/>
      <c r="IQ4" s="531"/>
      <c r="IR4" s="531"/>
      <c r="IS4" s="531"/>
      <c r="IT4" s="531"/>
      <c r="IU4" s="531"/>
    </row>
    <row r="5" spans="1:255" ht="15">
      <c r="A5" s="2369" t="s">
        <v>139</v>
      </c>
      <c r="B5" s="2369"/>
      <c r="C5" s="2370" t="s">
        <v>143</v>
      </c>
      <c r="D5" s="2370"/>
      <c r="E5" s="2370"/>
      <c r="F5" s="530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  <c r="R5" s="531"/>
      <c r="S5" s="531"/>
      <c r="T5" s="531"/>
      <c r="U5" s="531"/>
      <c r="V5" s="531"/>
      <c r="W5" s="531"/>
      <c r="X5" s="531"/>
      <c r="Y5" s="531"/>
      <c r="Z5" s="531"/>
      <c r="AA5" s="531"/>
      <c r="AB5" s="531"/>
      <c r="AC5" s="531"/>
      <c r="AD5" s="531"/>
      <c r="AE5" s="531"/>
      <c r="AF5" s="531"/>
      <c r="AG5" s="531"/>
      <c r="AH5" s="531"/>
      <c r="AI5" s="531"/>
      <c r="AJ5" s="531"/>
      <c r="AK5" s="531"/>
      <c r="AL5" s="531"/>
      <c r="AM5" s="531"/>
      <c r="AN5" s="531"/>
      <c r="AO5" s="531"/>
      <c r="AP5" s="531"/>
      <c r="AQ5" s="531"/>
      <c r="AR5" s="531"/>
      <c r="AS5" s="531"/>
      <c r="AT5" s="531"/>
      <c r="AU5" s="531"/>
      <c r="AV5" s="531"/>
      <c r="AW5" s="531"/>
      <c r="AX5" s="531"/>
      <c r="AY5" s="531"/>
      <c r="AZ5" s="531"/>
      <c r="BA5" s="531"/>
      <c r="BB5" s="531"/>
      <c r="BC5" s="531"/>
      <c r="BD5" s="531"/>
      <c r="BE5" s="531"/>
      <c r="BF5" s="531"/>
      <c r="BG5" s="531"/>
      <c r="BH5" s="531"/>
      <c r="BI5" s="531"/>
      <c r="BJ5" s="531"/>
      <c r="BK5" s="531"/>
      <c r="BL5" s="531"/>
      <c r="BM5" s="531"/>
      <c r="BN5" s="531"/>
      <c r="BO5" s="531"/>
      <c r="BP5" s="531"/>
      <c r="BQ5" s="531"/>
      <c r="BR5" s="531"/>
      <c r="BS5" s="531"/>
      <c r="BT5" s="531"/>
      <c r="BU5" s="531"/>
      <c r="BV5" s="531"/>
      <c r="BW5" s="531"/>
      <c r="BX5" s="531"/>
      <c r="BY5" s="531"/>
      <c r="BZ5" s="531"/>
      <c r="CA5" s="531"/>
      <c r="CB5" s="531"/>
      <c r="CC5" s="531"/>
      <c r="CD5" s="531"/>
      <c r="CE5" s="531"/>
      <c r="CF5" s="531"/>
      <c r="CG5" s="531"/>
      <c r="CH5" s="531"/>
      <c r="CI5" s="531"/>
      <c r="CJ5" s="531"/>
      <c r="CK5" s="531"/>
      <c r="CL5" s="531"/>
      <c r="CM5" s="531"/>
      <c r="CN5" s="531"/>
      <c r="CO5" s="531"/>
      <c r="CP5" s="531"/>
      <c r="CQ5" s="531"/>
      <c r="CR5" s="531"/>
      <c r="CS5" s="531"/>
      <c r="CT5" s="531"/>
      <c r="CU5" s="531"/>
      <c r="CV5" s="531"/>
      <c r="CW5" s="531"/>
      <c r="CX5" s="531"/>
      <c r="CY5" s="531"/>
      <c r="CZ5" s="531"/>
      <c r="DA5" s="531"/>
      <c r="DB5" s="531"/>
      <c r="DC5" s="531"/>
      <c r="DD5" s="531"/>
      <c r="DE5" s="531"/>
      <c r="DF5" s="531"/>
      <c r="DG5" s="531"/>
      <c r="DH5" s="531"/>
      <c r="DI5" s="531"/>
      <c r="DJ5" s="531"/>
      <c r="DK5" s="531"/>
      <c r="DL5" s="531"/>
      <c r="DM5" s="531"/>
      <c r="DN5" s="531"/>
      <c r="DO5" s="531"/>
      <c r="DP5" s="531"/>
      <c r="DQ5" s="531"/>
      <c r="DR5" s="531"/>
      <c r="DS5" s="531"/>
      <c r="DT5" s="531"/>
      <c r="DU5" s="531"/>
      <c r="DV5" s="531"/>
      <c r="DW5" s="531"/>
      <c r="DX5" s="531"/>
      <c r="DY5" s="531"/>
      <c r="DZ5" s="531"/>
      <c r="EA5" s="531"/>
      <c r="EB5" s="531"/>
      <c r="EC5" s="531"/>
      <c r="ED5" s="531"/>
      <c r="EE5" s="531"/>
      <c r="EF5" s="531"/>
      <c r="EG5" s="531"/>
      <c r="EH5" s="531"/>
      <c r="EI5" s="531"/>
      <c r="EJ5" s="531"/>
      <c r="EK5" s="531"/>
      <c r="EL5" s="531"/>
      <c r="EM5" s="531"/>
      <c r="EN5" s="531"/>
      <c r="EO5" s="531"/>
      <c r="EP5" s="531"/>
      <c r="EQ5" s="531"/>
      <c r="ER5" s="531"/>
      <c r="ES5" s="531"/>
      <c r="ET5" s="531"/>
      <c r="EU5" s="531"/>
      <c r="EV5" s="531"/>
      <c r="EW5" s="531"/>
      <c r="EX5" s="531"/>
      <c r="EY5" s="531"/>
      <c r="EZ5" s="531"/>
      <c r="FA5" s="531"/>
      <c r="FB5" s="531"/>
      <c r="FC5" s="531"/>
      <c r="FD5" s="531"/>
      <c r="FE5" s="531"/>
      <c r="FF5" s="531"/>
      <c r="FG5" s="531"/>
      <c r="FH5" s="531"/>
      <c r="FI5" s="531"/>
      <c r="FJ5" s="531"/>
      <c r="FK5" s="531"/>
      <c r="FL5" s="531"/>
      <c r="FM5" s="531"/>
      <c r="FN5" s="531"/>
      <c r="FO5" s="531"/>
      <c r="FP5" s="531"/>
      <c r="FQ5" s="531"/>
      <c r="FR5" s="531"/>
      <c r="FS5" s="531"/>
      <c r="FT5" s="531"/>
      <c r="FU5" s="531"/>
      <c r="FV5" s="531"/>
      <c r="FW5" s="531"/>
      <c r="FX5" s="531"/>
      <c r="FY5" s="531"/>
      <c r="FZ5" s="531"/>
      <c r="GA5" s="531"/>
      <c r="GB5" s="531"/>
      <c r="GC5" s="531"/>
      <c r="GD5" s="531"/>
      <c r="GE5" s="531"/>
      <c r="GF5" s="531"/>
      <c r="GG5" s="531"/>
      <c r="GH5" s="531"/>
      <c r="GI5" s="531"/>
      <c r="GJ5" s="531"/>
      <c r="GK5" s="531"/>
      <c r="GL5" s="531"/>
      <c r="GM5" s="531"/>
      <c r="GN5" s="531"/>
      <c r="GO5" s="531"/>
      <c r="GP5" s="531"/>
      <c r="GQ5" s="531"/>
      <c r="GR5" s="531"/>
      <c r="GS5" s="531"/>
      <c r="GT5" s="531"/>
      <c r="GU5" s="531"/>
      <c r="GV5" s="531"/>
      <c r="GW5" s="531"/>
      <c r="GX5" s="531"/>
      <c r="GY5" s="531"/>
      <c r="GZ5" s="531"/>
      <c r="HA5" s="531"/>
      <c r="HB5" s="531"/>
      <c r="HC5" s="531"/>
      <c r="HD5" s="531"/>
      <c r="HE5" s="531"/>
      <c r="HF5" s="531"/>
      <c r="HG5" s="531"/>
      <c r="HH5" s="531"/>
      <c r="HI5" s="531"/>
      <c r="HJ5" s="531"/>
      <c r="HK5" s="531"/>
      <c r="HL5" s="531"/>
      <c r="HM5" s="531"/>
      <c r="HN5" s="531"/>
      <c r="HO5" s="531"/>
      <c r="HP5" s="531"/>
      <c r="HQ5" s="531"/>
      <c r="HR5" s="531"/>
      <c r="HS5" s="531"/>
      <c r="HT5" s="531"/>
      <c r="HU5" s="531"/>
      <c r="HV5" s="531"/>
      <c r="HW5" s="531"/>
      <c r="HX5" s="531"/>
      <c r="HY5" s="531"/>
      <c r="HZ5" s="531"/>
      <c r="IA5" s="531"/>
      <c r="IB5" s="531"/>
      <c r="IC5" s="531"/>
      <c r="ID5" s="531"/>
      <c r="IE5" s="531"/>
      <c r="IF5" s="531"/>
      <c r="IG5" s="531"/>
      <c r="IH5" s="531"/>
      <c r="II5" s="531"/>
      <c r="IJ5" s="531"/>
      <c r="IK5" s="531"/>
      <c r="IL5" s="531"/>
      <c r="IM5" s="531"/>
      <c r="IN5" s="531"/>
      <c r="IO5" s="531"/>
      <c r="IP5" s="531"/>
      <c r="IQ5" s="531"/>
      <c r="IR5" s="531"/>
      <c r="IS5" s="531"/>
      <c r="IT5" s="531"/>
      <c r="IU5" s="531"/>
    </row>
    <row r="6" spans="1:255" ht="15">
      <c r="A6" s="752"/>
      <c r="B6" s="752"/>
      <c r="C6" s="758"/>
      <c r="D6" s="758"/>
      <c r="E6" s="758"/>
      <c r="F6" s="530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1"/>
      <c r="AG6" s="531"/>
      <c r="AH6" s="531"/>
      <c r="AI6" s="531"/>
      <c r="AJ6" s="531"/>
      <c r="AK6" s="531"/>
      <c r="AL6" s="531"/>
      <c r="AM6" s="531"/>
      <c r="AN6" s="531"/>
      <c r="AO6" s="531"/>
      <c r="AP6" s="531"/>
      <c r="AQ6" s="531"/>
      <c r="AR6" s="531"/>
      <c r="AS6" s="531"/>
      <c r="AT6" s="531"/>
      <c r="AU6" s="531"/>
      <c r="AV6" s="531"/>
      <c r="AW6" s="531"/>
      <c r="AX6" s="531"/>
      <c r="AY6" s="531"/>
      <c r="AZ6" s="531"/>
      <c r="BA6" s="531"/>
      <c r="BB6" s="531"/>
      <c r="BC6" s="531"/>
      <c r="BD6" s="531"/>
      <c r="BE6" s="531"/>
      <c r="BF6" s="531"/>
      <c r="BG6" s="531"/>
      <c r="BH6" s="531"/>
      <c r="BI6" s="531"/>
      <c r="BJ6" s="531"/>
      <c r="BK6" s="531"/>
      <c r="BL6" s="531"/>
      <c r="BM6" s="531"/>
      <c r="BN6" s="531"/>
      <c r="BO6" s="531"/>
      <c r="BP6" s="531"/>
      <c r="BQ6" s="531"/>
      <c r="BR6" s="531"/>
      <c r="BS6" s="531"/>
      <c r="BT6" s="531"/>
      <c r="BU6" s="531"/>
      <c r="BV6" s="531"/>
      <c r="BW6" s="531"/>
      <c r="BX6" s="531"/>
      <c r="BY6" s="531"/>
      <c r="BZ6" s="531"/>
      <c r="CA6" s="531"/>
      <c r="CB6" s="531"/>
      <c r="CC6" s="531"/>
      <c r="CD6" s="531"/>
      <c r="CE6" s="531"/>
      <c r="CF6" s="531"/>
      <c r="CG6" s="531"/>
      <c r="CH6" s="531"/>
      <c r="CI6" s="531"/>
      <c r="CJ6" s="531"/>
      <c r="CK6" s="531"/>
      <c r="CL6" s="531"/>
      <c r="CM6" s="531"/>
      <c r="CN6" s="531"/>
      <c r="CO6" s="531"/>
      <c r="CP6" s="531"/>
      <c r="CQ6" s="531"/>
      <c r="CR6" s="531"/>
      <c r="CS6" s="531"/>
      <c r="CT6" s="531"/>
      <c r="CU6" s="531"/>
      <c r="CV6" s="531"/>
      <c r="CW6" s="531"/>
      <c r="CX6" s="531"/>
      <c r="CY6" s="531"/>
      <c r="CZ6" s="531"/>
      <c r="DA6" s="531"/>
      <c r="DB6" s="531"/>
      <c r="DC6" s="531"/>
      <c r="DD6" s="531"/>
      <c r="DE6" s="531"/>
      <c r="DF6" s="531"/>
      <c r="DG6" s="531"/>
      <c r="DH6" s="531"/>
      <c r="DI6" s="531"/>
      <c r="DJ6" s="531"/>
      <c r="DK6" s="531"/>
      <c r="DL6" s="531"/>
      <c r="DM6" s="531"/>
      <c r="DN6" s="531"/>
      <c r="DO6" s="531"/>
      <c r="DP6" s="531"/>
      <c r="DQ6" s="531"/>
      <c r="DR6" s="531"/>
      <c r="DS6" s="531"/>
      <c r="DT6" s="531"/>
      <c r="DU6" s="531"/>
      <c r="DV6" s="531"/>
      <c r="DW6" s="531"/>
      <c r="DX6" s="531"/>
      <c r="DY6" s="531"/>
      <c r="DZ6" s="531"/>
      <c r="EA6" s="531"/>
      <c r="EB6" s="531"/>
      <c r="EC6" s="531"/>
      <c r="ED6" s="531"/>
      <c r="EE6" s="531"/>
      <c r="EF6" s="531"/>
      <c r="EG6" s="531"/>
      <c r="EH6" s="531"/>
      <c r="EI6" s="531"/>
      <c r="EJ6" s="531"/>
      <c r="EK6" s="531"/>
      <c r="EL6" s="531"/>
      <c r="EM6" s="531"/>
      <c r="EN6" s="531"/>
      <c r="EO6" s="531"/>
      <c r="EP6" s="531"/>
      <c r="EQ6" s="531"/>
      <c r="ER6" s="531"/>
      <c r="ES6" s="531"/>
      <c r="ET6" s="531"/>
      <c r="EU6" s="531"/>
      <c r="EV6" s="531"/>
      <c r="EW6" s="531"/>
      <c r="EX6" s="531"/>
      <c r="EY6" s="531"/>
      <c r="EZ6" s="531"/>
      <c r="FA6" s="531"/>
      <c r="FB6" s="531"/>
      <c r="FC6" s="531"/>
      <c r="FD6" s="531"/>
      <c r="FE6" s="531"/>
      <c r="FF6" s="531"/>
      <c r="FG6" s="531"/>
      <c r="FH6" s="531"/>
      <c r="FI6" s="531"/>
      <c r="FJ6" s="531"/>
      <c r="FK6" s="531"/>
      <c r="FL6" s="531"/>
      <c r="FM6" s="531"/>
      <c r="FN6" s="531"/>
      <c r="FO6" s="531"/>
      <c r="FP6" s="531"/>
      <c r="FQ6" s="531"/>
      <c r="FR6" s="531"/>
      <c r="FS6" s="531"/>
      <c r="FT6" s="531"/>
      <c r="FU6" s="531"/>
      <c r="FV6" s="531"/>
      <c r="FW6" s="531"/>
      <c r="FX6" s="531"/>
      <c r="FY6" s="531"/>
      <c r="FZ6" s="531"/>
      <c r="GA6" s="531"/>
      <c r="GB6" s="531"/>
      <c r="GC6" s="531"/>
      <c r="GD6" s="531"/>
      <c r="GE6" s="531"/>
      <c r="GF6" s="531"/>
      <c r="GG6" s="531"/>
      <c r="GH6" s="531"/>
      <c r="GI6" s="531"/>
      <c r="GJ6" s="531"/>
      <c r="GK6" s="531"/>
      <c r="GL6" s="531"/>
      <c r="GM6" s="531"/>
      <c r="GN6" s="531"/>
      <c r="GO6" s="531"/>
      <c r="GP6" s="531"/>
      <c r="GQ6" s="531"/>
      <c r="GR6" s="531"/>
      <c r="GS6" s="531"/>
      <c r="GT6" s="531"/>
      <c r="GU6" s="531"/>
      <c r="GV6" s="531"/>
      <c r="GW6" s="531"/>
      <c r="GX6" s="531"/>
      <c r="GY6" s="531"/>
      <c r="GZ6" s="531"/>
      <c r="HA6" s="531"/>
      <c r="HB6" s="531"/>
      <c r="HC6" s="531"/>
      <c r="HD6" s="531"/>
      <c r="HE6" s="531"/>
      <c r="HF6" s="531"/>
      <c r="HG6" s="531"/>
      <c r="HH6" s="531"/>
      <c r="HI6" s="531"/>
      <c r="HJ6" s="531"/>
      <c r="HK6" s="531"/>
      <c r="HL6" s="531"/>
      <c r="HM6" s="531"/>
      <c r="HN6" s="531"/>
      <c r="HO6" s="531"/>
      <c r="HP6" s="531"/>
      <c r="HQ6" s="531"/>
      <c r="HR6" s="531"/>
      <c r="HS6" s="531"/>
      <c r="HT6" s="531"/>
      <c r="HU6" s="531"/>
      <c r="HV6" s="531"/>
      <c r="HW6" s="531"/>
      <c r="HX6" s="531"/>
      <c r="HY6" s="531"/>
      <c r="HZ6" s="531"/>
      <c r="IA6" s="531"/>
      <c r="IB6" s="531"/>
      <c r="IC6" s="531"/>
      <c r="ID6" s="531"/>
      <c r="IE6" s="531"/>
      <c r="IF6" s="531"/>
      <c r="IG6" s="531"/>
      <c r="IH6" s="531"/>
      <c r="II6" s="531"/>
      <c r="IJ6" s="531"/>
      <c r="IK6" s="531"/>
      <c r="IL6" s="531"/>
      <c r="IM6" s="531"/>
      <c r="IN6" s="531"/>
      <c r="IO6" s="531"/>
      <c r="IP6" s="531"/>
      <c r="IQ6" s="531"/>
      <c r="IR6" s="531"/>
      <c r="IS6" s="531"/>
      <c r="IT6" s="531"/>
      <c r="IU6" s="531"/>
    </row>
    <row r="7" spans="1:255" ht="15.75" thickBot="1">
      <c r="A7" s="532" t="s">
        <v>400</v>
      </c>
      <c r="B7" s="532"/>
      <c r="C7" s="1134">
        <v>10</v>
      </c>
      <c r="D7" s="533" t="s">
        <v>84</v>
      </c>
      <c r="E7" s="532"/>
      <c r="F7" s="532">
        <f>'№5.1Демонтаж БУ'!F11</f>
        <v>0</v>
      </c>
      <c r="G7" s="534"/>
      <c r="H7" s="534"/>
      <c r="I7" s="534"/>
      <c r="J7" s="534"/>
      <c r="K7" s="534"/>
      <c r="L7" s="534"/>
      <c r="M7" s="534"/>
      <c r="N7" s="534"/>
      <c r="O7" s="534"/>
      <c r="P7" s="534"/>
      <c r="Q7" s="534"/>
      <c r="R7" s="534"/>
      <c r="S7" s="534"/>
      <c r="T7" s="534"/>
      <c r="U7" s="534"/>
      <c r="V7" s="534"/>
      <c r="W7" s="534"/>
      <c r="X7" s="534"/>
      <c r="Y7" s="534"/>
      <c r="Z7" s="534"/>
      <c r="AA7" s="534"/>
      <c r="AB7" s="534"/>
      <c r="AC7" s="534"/>
      <c r="AD7" s="534"/>
      <c r="AE7" s="534"/>
      <c r="AF7" s="534"/>
      <c r="AG7" s="534"/>
      <c r="AH7" s="534"/>
      <c r="AI7" s="534"/>
      <c r="AJ7" s="534"/>
      <c r="AK7" s="534"/>
      <c r="AL7" s="534"/>
      <c r="AM7" s="534"/>
      <c r="AN7" s="534"/>
      <c r="AO7" s="534"/>
      <c r="AP7" s="534"/>
      <c r="AQ7" s="534"/>
      <c r="AR7" s="534"/>
      <c r="AS7" s="534"/>
      <c r="AT7" s="534"/>
      <c r="AU7" s="534"/>
      <c r="AV7" s="534"/>
      <c r="AW7" s="534"/>
      <c r="AX7" s="534"/>
      <c r="AY7" s="534"/>
      <c r="AZ7" s="534"/>
      <c r="BA7" s="534"/>
      <c r="BB7" s="534"/>
      <c r="BC7" s="534"/>
      <c r="BD7" s="534"/>
      <c r="BE7" s="534"/>
      <c r="BF7" s="534"/>
      <c r="BG7" s="534"/>
      <c r="BH7" s="534"/>
      <c r="BI7" s="534"/>
      <c r="BJ7" s="534"/>
      <c r="BK7" s="534"/>
      <c r="BL7" s="534"/>
      <c r="BM7" s="534"/>
      <c r="BN7" s="534"/>
      <c r="BO7" s="534"/>
      <c r="BP7" s="534"/>
      <c r="BQ7" s="534"/>
      <c r="BR7" s="534"/>
      <c r="BS7" s="534"/>
      <c r="BT7" s="534"/>
      <c r="BU7" s="534"/>
      <c r="BV7" s="534"/>
      <c r="BW7" s="534"/>
      <c r="BX7" s="534"/>
      <c r="BY7" s="534"/>
      <c r="BZ7" s="534"/>
      <c r="CA7" s="534"/>
      <c r="CB7" s="534"/>
      <c r="CC7" s="534"/>
      <c r="CD7" s="534"/>
      <c r="CE7" s="534"/>
      <c r="CF7" s="534"/>
      <c r="CG7" s="534"/>
      <c r="CH7" s="534"/>
      <c r="CI7" s="534"/>
      <c r="CJ7" s="534"/>
      <c r="CK7" s="534"/>
      <c r="CL7" s="534"/>
      <c r="CM7" s="534"/>
      <c r="CN7" s="534"/>
      <c r="CO7" s="534"/>
      <c r="CP7" s="534"/>
      <c r="CQ7" s="534"/>
      <c r="CR7" s="534"/>
      <c r="CS7" s="534"/>
      <c r="CT7" s="534"/>
      <c r="CU7" s="534"/>
      <c r="CV7" s="534"/>
      <c r="CW7" s="534"/>
      <c r="CX7" s="534"/>
      <c r="CY7" s="534"/>
      <c r="CZ7" s="534"/>
      <c r="DA7" s="534"/>
      <c r="DB7" s="534"/>
      <c r="DC7" s="534"/>
      <c r="DD7" s="534"/>
      <c r="DE7" s="534"/>
      <c r="DF7" s="534"/>
      <c r="DG7" s="534"/>
      <c r="DH7" s="534"/>
      <c r="DI7" s="534"/>
      <c r="DJ7" s="534"/>
      <c r="DK7" s="534"/>
      <c r="DL7" s="534"/>
      <c r="DM7" s="534"/>
      <c r="DN7" s="534"/>
      <c r="DO7" s="534"/>
      <c r="DP7" s="534"/>
      <c r="DQ7" s="534"/>
      <c r="DR7" s="534"/>
      <c r="DS7" s="534"/>
      <c r="DT7" s="534"/>
      <c r="DU7" s="534"/>
      <c r="DV7" s="534"/>
      <c r="DW7" s="534"/>
      <c r="DX7" s="534"/>
      <c r="DY7" s="534"/>
      <c r="DZ7" s="534"/>
      <c r="EA7" s="534"/>
      <c r="EB7" s="534"/>
      <c r="EC7" s="534"/>
      <c r="ED7" s="534"/>
      <c r="EE7" s="534"/>
      <c r="EF7" s="534"/>
      <c r="EG7" s="534"/>
      <c r="EH7" s="534"/>
      <c r="EI7" s="534"/>
      <c r="EJ7" s="534"/>
      <c r="EK7" s="534"/>
      <c r="EL7" s="534"/>
      <c r="EM7" s="534"/>
      <c r="EN7" s="534"/>
      <c r="EO7" s="534"/>
      <c r="EP7" s="534"/>
      <c r="EQ7" s="534"/>
      <c r="ER7" s="534"/>
      <c r="ES7" s="534"/>
      <c r="ET7" s="534"/>
      <c r="EU7" s="534"/>
      <c r="EV7" s="534"/>
      <c r="EW7" s="534"/>
      <c r="EX7" s="534"/>
      <c r="EY7" s="534"/>
      <c r="EZ7" s="534"/>
      <c r="FA7" s="534"/>
      <c r="FB7" s="534"/>
      <c r="FC7" s="534"/>
      <c r="FD7" s="534"/>
      <c r="FE7" s="534"/>
      <c r="FF7" s="534"/>
      <c r="FG7" s="534"/>
      <c r="FH7" s="534"/>
      <c r="FI7" s="534"/>
      <c r="FJ7" s="534"/>
      <c r="FK7" s="534"/>
      <c r="FL7" s="534"/>
      <c r="FM7" s="534"/>
      <c r="FN7" s="534"/>
      <c r="FO7" s="534"/>
      <c r="FP7" s="534"/>
      <c r="FQ7" s="534"/>
      <c r="FR7" s="534"/>
      <c r="FS7" s="534"/>
      <c r="FT7" s="534"/>
      <c r="FU7" s="534"/>
      <c r="FV7" s="534"/>
      <c r="FW7" s="534"/>
      <c r="FX7" s="534"/>
      <c r="FY7" s="534"/>
      <c r="FZ7" s="534"/>
      <c r="GA7" s="534"/>
      <c r="GB7" s="534"/>
      <c r="GC7" s="534"/>
      <c r="GD7" s="534"/>
      <c r="GE7" s="534"/>
      <c r="GF7" s="534"/>
      <c r="GG7" s="534"/>
      <c r="GH7" s="534"/>
      <c r="GI7" s="534"/>
      <c r="GJ7" s="534"/>
      <c r="GK7" s="534"/>
      <c r="GL7" s="534"/>
      <c r="GM7" s="534"/>
      <c r="GN7" s="534"/>
      <c r="GO7" s="534"/>
      <c r="GP7" s="534"/>
      <c r="GQ7" s="534"/>
      <c r="GR7" s="534"/>
      <c r="GS7" s="534"/>
      <c r="GT7" s="534"/>
      <c r="GU7" s="534"/>
      <c r="GV7" s="534"/>
      <c r="GW7" s="534"/>
      <c r="GX7" s="534"/>
      <c r="GY7" s="534"/>
      <c r="GZ7" s="534"/>
      <c r="HA7" s="534"/>
      <c r="HB7" s="534"/>
      <c r="HC7" s="534"/>
      <c r="HD7" s="534"/>
      <c r="HE7" s="534"/>
      <c r="HF7" s="534"/>
      <c r="HG7" s="534"/>
      <c r="HH7" s="534"/>
      <c r="HI7" s="534"/>
      <c r="HJ7" s="534"/>
      <c r="HK7" s="534"/>
      <c r="HL7" s="534"/>
      <c r="HM7" s="534"/>
      <c r="HN7" s="534"/>
      <c r="HO7" s="534"/>
      <c r="HP7" s="534"/>
      <c r="HQ7" s="534"/>
      <c r="HR7" s="534"/>
      <c r="HS7" s="534"/>
      <c r="HT7" s="534"/>
      <c r="HU7" s="534"/>
      <c r="HV7" s="534"/>
      <c r="HW7" s="534"/>
      <c r="HX7" s="534"/>
      <c r="HY7" s="534"/>
      <c r="HZ7" s="534"/>
      <c r="IA7" s="534"/>
      <c r="IB7" s="534"/>
      <c r="IC7" s="534"/>
      <c r="ID7" s="534"/>
      <c r="IE7" s="534"/>
      <c r="IF7" s="534"/>
      <c r="IG7" s="534"/>
      <c r="IH7" s="534"/>
      <c r="II7" s="534"/>
      <c r="IJ7" s="534"/>
      <c r="IK7" s="534"/>
      <c r="IL7" s="534"/>
      <c r="IM7" s="534"/>
      <c r="IN7" s="534"/>
      <c r="IO7" s="534"/>
      <c r="IP7" s="534"/>
      <c r="IQ7" s="534"/>
      <c r="IR7" s="534"/>
      <c r="IS7" s="534"/>
      <c r="IT7" s="534"/>
      <c r="IU7" s="534"/>
    </row>
    <row r="8" spans="1:255" ht="13.7" customHeight="1">
      <c r="A8" s="2371" t="s">
        <v>213</v>
      </c>
      <c r="B8" s="2373" t="s">
        <v>15</v>
      </c>
      <c r="C8" s="2373" t="s">
        <v>2</v>
      </c>
      <c r="D8" s="2375" t="s">
        <v>16</v>
      </c>
      <c r="E8" s="2373" t="s">
        <v>32</v>
      </c>
      <c r="F8" s="2364" t="s">
        <v>104</v>
      </c>
    </row>
    <row r="9" spans="1:255" ht="13.7" customHeight="1">
      <c r="A9" s="2372"/>
      <c r="B9" s="2374"/>
      <c r="C9" s="2374"/>
      <c r="D9" s="2376"/>
      <c r="E9" s="2374"/>
      <c r="F9" s="2365"/>
    </row>
    <row r="10" spans="1:255" ht="13.5">
      <c r="A10" s="536">
        <v>1</v>
      </c>
      <c r="B10" s="535">
        <v>2</v>
      </c>
      <c r="C10" s="535">
        <v>3</v>
      </c>
      <c r="D10" s="600">
        <v>4</v>
      </c>
      <c r="E10" s="600">
        <v>5</v>
      </c>
      <c r="F10" s="601">
        <v>6</v>
      </c>
    </row>
    <row r="11" spans="1:255" ht="14.25">
      <c r="A11" s="537" t="s">
        <v>4</v>
      </c>
      <c r="B11" s="2362" t="s">
        <v>53</v>
      </c>
      <c r="C11" s="2362"/>
      <c r="D11" s="2362"/>
      <c r="E11" s="2362"/>
      <c r="F11" s="2363"/>
    </row>
    <row r="12" spans="1:255" ht="24">
      <c r="A12" s="537"/>
      <c r="B12" s="538" t="s">
        <v>149</v>
      </c>
      <c r="C12" s="539"/>
      <c r="D12" s="540"/>
      <c r="E12" s="539"/>
      <c r="F12" s="522"/>
    </row>
    <row r="13" spans="1:255" ht="15">
      <c r="A13" s="541" t="s">
        <v>24</v>
      </c>
      <c r="B13" s="250" t="s">
        <v>604</v>
      </c>
      <c r="C13" s="95" t="s">
        <v>172</v>
      </c>
      <c r="D13" s="831">
        <f>$C$7*11</f>
        <v>110</v>
      </c>
      <c r="E13" s="246">
        <f>'№5.1Демонтаж БУ'!E18</f>
        <v>0</v>
      </c>
      <c r="F13" s="267">
        <f>ROUND(D13*E13,2)</f>
        <v>0</v>
      </c>
      <c r="G13" s="544"/>
      <c r="H13" s="544"/>
      <c r="I13" s="543"/>
      <c r="J13" s="543"/>
      <c r="K13" s="543"/>
      <c r="L13" s="543"/>
      <c r="M13" s="544"/>
      <c r="N13" s="544"/>
      <c r="O13" s="544"/>
      <c r="P13" s="543"/>
      <c r="Q13" s="543"/>
      <c r="R13" s="543"/>
      <c r="S13" s="543"/>
      <c r="T13" s="543"/>
      <c r="U13" s="543"/>
      <c r="V13" s="543"/>
      <c r="W13" s="543"/>
      <c r="X13" s="543"/>
      <c r="Y13" s="543"/>
      <c r="Z13" s="543"/>
      <c r="AA13" s="543"/>
      <c r="AB13" s="543"/>
      <c r="AC13" s="543"/>
      <c r="AD13" s="543"/>
      <c r="AE13" s="543"/>
      <c r="AF13" s="543"/>
      <c r="AG13" s="543"/>
      <c r="AH13" s="543"/>
      <c r="AI13" s="543"/>
      <c r="AJ13" s="543"/>
      <c r="AK13" s="543"/>
      <c r="AL13" s="543"/>
      <c r="AM13" s="543"/>
      <c r="AN13" s="543"/>
      <c r="AO13" s="543"/>
      <c r="AP13" s="543"/>
      <c r="AQ13" s="543"/>
      <c r="AR13" s="543"/>
      <c r="AS13" s="543"/>
      <c r="AT13" s="543"/>
      <c r="AU13" s="543"/>
      <c r="AV13" s="543"/>
      <c r="AW13" s="543"/>
      <c r="AX13" s="543"/>
      <c r="AY13" s="543"/>
      <c r="AZ13" s="543"/>
      <c r="BA13" s="543"/>
      <c r="BB13" s="543"/>
      <c r="BC13" s="543"/>
      <c r="BD13" s="543"/>
      <c r="BE13" s="543"/>
      <c r="BF13" s="543"/>
      <c r="BG13" s="543"/>
      <c r="BH13" s="543"/>
      <c r="BI13" s="543"/>
      <c r="BJ13" s="543"/>
      <c r="BK13" s="543"/>
      <c r="BL13" s="543"/>
      <c r="BM13" s="543"/>
      <c r="BN13" s="543"/>
      <c r="BO13" s="543"/>
      <c r="BP13" s="543"/>
      <c r="BQ13" s="543"/>
      <c r="BR13" s="543"/>
      <c r="BS13" s="543"/>
      <c r="BT13" s="543"/>
      <c r="BU13" s="543"/>
      <c r="BV13" s="543"/>
      <c r="BW13" s="543"/>
      <c r="BX13" s="543"/>
      <c r="BY13" s="543"/>
      <c r="BZ13" s="543"/>
      <c r="CA13" s="543"/>
      <c r="CB13" s="543"/>
      <c r="CC13" s="543"/>
      <c r="CD13" s="543"/>
      <c r="CE13" s="543"/>
      <c r="CF13" s="543"/>
      <c r="CG13" s="543"/>
      <c r="CH13" s="543"/>
      <c r="CI13" s="543"/>
      <c r="CJ13" s="543"/>
      <c r="CK13" s="543"/>
      <c r="CL13" s="543"/>
      <c r="CM13" s="543"/>
      <c r="CN13" s="543"/>
      <c r="CO13" s="543"/>
      <c r="CP13" s="543"/>
      <c r="CQ13" s="543"/>
      <c r="CR13" s="543"/>
      <c r="CS13" s="543"/>
      <c r="CT13" s="543"/>
      <c r="CU13" s="543"/>
      <c r="CV13" s="543"/>
      <c r="CW13" s="543"/>
      <c r="CX13" s="543"/>
      <c r="CY13" s="543"/>
      <c r="CZ13" s="543"/>
      <c r="DA13" s="543"/>
      <c r="DB13" s="543"/>
      <c r="DC13" s="543"/>
      <c r="DD13" s="543"/>
      <c r="DE13" s="543"/>
      <c r="DF13" s="543"/>
      <c r="DG13" s="543"/>
      <c r="DH13" s="543"/>
      <c r="DI13" s="543"/>
      <c r="DJ13" s="543"/>
      <c r="DK13" s="543"/>
      <c r="DL13" s="543"/>
      <c r="DM13" s="543"/>
      <c r="DN13" s="543"/>
      <c r="DO13" s="543"/>
      <c r="DP13" s="543"/>
      <c r="DQ13" s="543"/>
      <c r="DR13" s="543"/>
      <c r="DS13" s="543"/>
      <c r="DT13" s="543"/>
      <c r="DU13" s="543"/>
      <c r="DV13" s="543"/>
      <c r="DW13" s="543"/>
      <c r="DX13" s="543"/>
      <c r="DY13" s="543"/>
      <c r="DZ13" s="543"/>
      <c r="EA13" s="543"/>
      <c r="EB13" s="543"/>
      <c r="EC13" s="543"/>
      <c r="ED13" s="543"/>
      <c r="EE13" s="543"/>
      <c r="EF13" s="543"/>
      <c r="EG13" s="543"/>
      <c r="EH13" s="543"/>
      <c r="EI13" s="543"/>
      <c r="EJ13" s="543"/>
      <c r="EK13" s="543"/>
      <c r="EL13" s="543"/>
      <c r="EM13" s="543"/>
      <c r="EN13" s="543"/>
      <c r="EO13" s="543"/>
      <c r="EP13" s="543"/>
      <c r="EQ13" s="543"/>
      <c r="ER13" s="543"/>
      <c r="ES13" s="543"/>
      <c r="ET13" s="543"/>
      <c r="EU13" s="543"/>
      <c r="EV13" s="543"/>
      <c r="EW13" s="543"/>
      <c r="EX13" s="543"/>
      <c r="EY13" s="543"/>
      <c r="EZ13" s="543"/>
      <c r="FA13" s="543"/>
      <c r="FB13" s="543"/>
      <c r="FC13" s="543"/>
      <c r="FD13" s="543"/>
      <c r="FE13" s="543"/>
      <c r="FF13" s="543"/>
      <c r="FG13" s="543"/>
      <c r="FH13" s="543"/>
      <c r="FI13" s="543"/>
      <c r="FJ13" s="543"/>
      <c r="FK13" s="543"/>
      <c r="FL13" s="543"/>
      <c r="FM13" s="543"/>
      <c r="FN13" s="543"/>
      <c r="FO13" s="543"/>
      <c r="FP13" s="543"/>
      <c r="FQ13" s="543"/>
      <c r="FR13" s="543"/>
      <c r="FS13" s="543"/>
      <c r="FT13" s="543"/>
      <c r="FU13" s="543"/>
      <c r="FV13" s="543"/>
      <c r="FW13" s="543"/>
      <c r="FX13" s="543"/>
      <c r="FY13" s="543"/>
      <c r="FZ13" s="543"/>
      <c r="GA13" s="543"/>
      <c r="GB13" s="543"/>
      <c r="GC13" s="543"/>
      <c r="GD13" s="543"/>
      <c r="GE13" s="543"/>
      <c r="GF13" s="543"/>
      <c r="GG13" s="543"/>
      <c r="GH13" s="543"/>
      <c r="GI13" s="543"/>
      <c r="GJ13" s="543"/>
      <c r="GK13" s="543"/>
      <c r="GL13" s="543"/>
      <c r="GM13" s="543"/>
      <c r="GN13" s="543"/>
      <c r="GO13" s="543"/>
      <c r="GP13" s="543"/>
      <c r="GQ13" s="543"/>
      <c r="GR13" s="543"/>
      <c r="GS13" s="543"/>
      <c r="GT13" s="543"/>
      <c r="GU13" s="543"/>
      <c r="GV13" s="543"/>
      <c r="GW13" s="543"/>
      <c r="GX13" s="543"/>
      <c r="GY13" s="543"/>
      <c r="GZ13" s="543"/>
      <c r="HA13" s="543"/>
      <c r="HB13" s="543"/>
      <c r="HC13" s="543"/>
      <c r="HD13" s="543"/>
      <c r="HE13" s="543"/>
      <c r="HF13" s="543"/>
      <c r="HG13" s="543"/>
      <c r="HH13" s="543"/>
      <c r="HI13" s="543"/>
      <c r="HJ13" s="543"/>
      <c r="HK13" s="543"/>
      <c r="HL13" s="543"/>
      <c r="HM13" s="543"/>
      <c r="HN13" s="543"/>
      <c r="HO13" s="543"/>
      <c r="HP13" s="543"/>
      <c r="HQ13" s="543"/>
      <c r="HR13" s="543"/>
      <c r="HS13" s="543"/>
      <c r="HT13" s="543"/>
      <c r="HU13" s="543"/>
      <c r="HV13" s="543"/>
      <c r="HW13" s="543"/>
      <c r="HX13" s="543"/>
      <c r="HY13" s="543"/>
      <c r="HZ13" s="543"/>
      <c r="IA13" s="543"/>
      <c r="IB13" s="543"/>
      <c r="IC13" s="543"/>
      <c r="ID13" s="543"/>
      <c r="IE13" s="543"/>
      <c r="IF13" s="543"/>
      <c r="IG13" s="543"/>
      <c r="IH13" s="543"/>
      <c r="II13" s="543"/>
      <c r="IJ13" s="543"/>
      <c r="IK13" s="543"/>
      <c r="IL13" s="543"/>
      <c r="IM13" s="543"/>
      <c r="IN13" s="543"/>
      <c r="IO13" s="543"/>
      <c r="IP13" s="543"/>
      <c r="IQ13" s="543"/>
      <c r="IR13" s="543"/>
      <c r="IS13" s="543"/>
      <c r="IT13" s="543"/>
      <c r="IU13" s="543"/>
    </row>
    <row r="14" spans="1:255" ht="15">
      <c r="A14" s="541" t="s">
        <v>25</v>
      </c>
      <c r="B14" s="250" t="s">
        <v>605</v>
      </c>
      <c r="C14" s="95" t="s">
        <v>172</v>
      </c>
      <c r="D14" s="831">
        <f>$C$7*11</f>
        <v>110</v>
      </c>
      <c r="E14" s="246" t="e">
        <f>'№5.1Демонтаж БУ'!#REF!</f>
        <v>#REF!</v>
      </c>
      <c r="F14" s="267" t="e">
        <f>ROUND(D14*E14,2)</f>
        <v>#REF!</v>
      </c>
      <c r="G14" s="544"/>
      <c r="H14" s="544"/>
      <c r="I14" s="543"/>
      <c r="J14" s="543"/>
      <c r="K14" s="543"/>
      <c r="L14" s="543"/>
      <c r="M14" s="544"/>
      <c r="N14" s="544"/>
      <c r="O14" s="544"/>
      <c r="P14" s="543"/>
      <c r="Q14" s="543"/>
      <c r="R14" s="543"/>
      <c r="S14" s="543"/>
      <c r="T14" s="543"/>
      <c r="U14" s="543"/>
      <c r="V14" s="543"/>
      <c r="W14" s="543"/>
      <c r="X14" s="543"/>
      <c r="Y14" s="543"/>
      <c r="Z14" s="543"/>
      <c r="AA14" s="543"/>
      <c r="AB14" s="543"/>
      <c r="AC14" s="543"/>
      <c r="AD14" s="543"/>
      <c r="AE14" s="543"/>
      <c r="AF14" s="543"/>
      <c r="AG14" s="543"/>
      <c r="AH14" s="543"/>
      <c r="AI14" s="543"/>
      <c r="AJ14" s="543"/>
      <c r="AK14" s="543"/>
      <c r="AL14" s="543"/>
      <c r="AM14" s="543"/>
      <c r="AN14" s="543"/>
      <c r="AO14" s="543"/>
      <c r="AP14" s="543"/>
      <c r="AQ14" s="543"/>
      <c r="AR14" s="543"/>
      <c r="AS14" s="543"/>
      <c r="AT14" s="543"/>
      <c r="AU14" s="543"/>
      <c r="AV14" s="543"/>
      <c r="AW14" s="543"/>
      <c r="AX14" s="543"/>
      <c r="AY14" s="543"/>
      <c r="AZ14" s="543"/>
      <c r="BA14" s="543"/>
      <c r="BB14" s="543"/>
      <c r="BC14" s="543"/>
      <c r="BD14" s="543"/>
      <c r="BE14" s="543"/>
      <c r="BF14" s="543"/>
      <c r="BG14" s="543"/>
      <c r="BH14" s="543"/>
      <c r="BI14" s="543"/>
      <c r="BJ14" s="543"/>
      <c r="BK14" s="543"/>
      <c r="BL14" s="543"/>
      <c r="BM14" s="543"/>
      <c r="BN14" s="543"/>
      <c r="BO14" s="543"/>
      <c r="BP14" s="543"/>
      <c r="BQ14" s="543"/>
      <c r="BR14" s="543"/>
      <c r="BS14" s="543"/>
      <c r="BT14" s="543"/>
      <c r="BU14" s="543"/>
      <c r="BV14" s="543"/>
      <c r="BW14" s="543"/>
      <c r="BX14" s="543"/>
      <c r="BY14" s="543"/>
      <c r="BZ14" s="543"/>
      <c r="CA14" s="543"/>
      <c r="CB14" s="543"/>
      <c r="CC14" s="543"/>
      <c r="CD14" s="543"/>
      <c r="CE14" s="543"/>
      <c r="CF14" s="543"/>
      <c r="CG14" s="543"/>
      <c r="CH14" s="543"/>
      <c r="CI14" s="543"/>
      <c r="CJ14" s="543"/>
      <c r="CK14" s="543"/>
      <c r="CL14" s="543"/>
      <c r="CM14" s="543"/>
      <c r="CN14" s="543"/>
      <c r="CO14" s="543"/>
      <c r="CP14" s="543"/>
      <c r="CQ14" s="543"/>
      <c r="CR14" s="543"/>
      <c r="CS14" s="543"/>
      <c r="CT14" s="543"/>
      <c r="CU14" s="543"/>
      <c r="CV14" s="543"/>
      <c r="CW14" s="543"/>
      <c r="CX14" s="543"/>
      <c r="CY14" s="543"/>
      <c r="CZ14" s="543"/>
      <c r="DA14" s="543"/>
      <c r="DB14" s="543"/>
      <c r="DC14" s="543"/>
      <c r="DD14" s="543"/>
      <c r="DE14" s="543"/>
      <c r="DF14" s="543"/>
      <c r="DG14" s="543"/>
      <c r="DH14" s="543"/>
      <c r="DI14" s="543"/>
      <c r="DJ14" s="543"/>
      <c r="DK14" s="543"/>
      <c r="DL14" s="543"/>
      <c r="DM14" s="543"/>
      <c r="DN14" s="543"/>
      <c r="DO14" s="543"/>
      <c r="DP14" s="543"/>
      <c r="DQ14" s="543"/>
      <c r="DR14" s="543"/>
      <c r="DS14" s="543"/>
      <c r="DT14" s="543"/>
      <c r="DU14" s="543"/>
      <c r="DV14" s="543"/>
      <c r="DW14" s="543"/>
      <c r="DX14" s="543"/>
      <c r="DY14" s="543"/>
      <c r="DZ14" s="543"/>
      <c r="EA14" s="543"/>
      <c r="EB14" s="543"/>
      <c r="EC14" s="543"/>
      <c r="ED14" s="543"/>
      <c r="EE14" s="543"/>
      <c r="EF14" s="543"/>
      <c r="EG14" s="543"/>
      <c r="EH14" s="543"/>
      <c r="EI14" s="543"/>
      <c r="EJ14" s="543"/>
      <c r="EK14" s="543"/>
      <c r="EL14" s="543"/>
      <c r="EM14" s="543"/>
      <c r="EN14" s="543"/>
      <c r="EO14" s="543"/>
      <c r="EP14" s="543"/>
      <c r="EQ14" s="543"/>
      <c r="ER14" s="543"/>
      <c r="ES14" s="543"/>
      <c r="ET14" s="543"/>
      <c r="EU14" s="543"/>
      <c r="EV14" s="543"/>
      <c r="EW14" s="543"/>
      <c r="EX14" s="543"/>
      <c r="EY14" s="543"/>
      <c r="EZ14" s="543"/>
      <c r="FA14" s="543"/>
      <c r="FB14" s="543"/>
      <c r="FC14" s="543"/>
      <c r="FD14" s="543"/>
      <c r="FE14" s="543"/>
      <c r="FF14" s="543"/>
      <c r="FG14" s="543"/>
      <c r="FH14" s="543"/>
      <c r="FI14" s="543"/>
      <c r="FJ14" s="543"/>
      <c r="FK14" s="543"/>
      <c r="FL14" s="543"/>
      <c r="FM14" s="543"/>
      <c r="FN14" s="543"/>
      <c r="FO14" s="543"/>
      <c r="FP14" s="543"/>
      <c r="FQ14" s="543"/>
      <c r="FR14" s="543"/>
      <c r="FS14" s="543"/>
      <c r="FT14" s="543"/>
      <c r="FU14" s="543"/>
      <c r="FV14" s="543"/>
      <c r="FW14" s="543"/>
      <c r="FX14" s="543"/>
      <c r="FY14" s="543"/>
      <c r="FZ14" s="543"/>
      <c r="GA14" s="543"/>
      <c r="GB14" s="543"/>
      <c r="GC14" s="543"/>
      <c r="GD14" s="543"/>
      <c r="GE14" s="543"/>
      <c r="GF14" s="543"/>
      <c r="GG14" s="543"/>
      <c r="GH14" s="543"/>
      <c r="GI14" s="543"/>
      <c r="GJ14" s="543"/>
      <c r="GK14" s="543"/>
      <c r="GL14" s="543"/>
      <c r="GM14" s="543"/>
      <c r="GN14" s="543"/>
      <c r="GO14" s="543"/>
      <c r="GP14" s="543"/>
      <c r="GQ14" s="543"/>
      <c r="GR14" s="543"/>
      <c r="GS14" s="543"/>
      <c r="GT14" s="543"/>
      <c r="GU14" s="543"/>
      <c r="GV14" s="543"/>
      <c r="GW14" s="543"/>
      <c r="GX14" s="543"/>
      <c r="GY14" s="543"/>
      <c r="GZ14" s="543"/>
      <c r="HA14" s="543"/>
      <c r="HB14" s="543"/>
      <c r="HC14" s="543"/>
      <c r="HD14" s="543"/>
      <c r="HE14" s="543"/>
      <c r="HF14" s="543"/>
      <c r="HG14" s="543"/>
      <c r="HH14" s="543"/>
      <c r="HI14" s="543"/>
      <c r="HJ14" s="543"/>
      <c r="HK14" s="543"/>
      <c r="HL14" s="543"/>
      <c r="HM14" s="543"/>
      <c r="HN14" s="543"/>
      <c r="HO14" s="543"/>
      <c r="HP14" s="543"/>
      <c r="HQ14" s="543"/>
      <c r="HR14" s="543"/>
      <c r="HS14" s="543"/>
      <c r="HT14" s="543"/>
      <c r="HU14" s="543"/>
      <c r="HV14" s="543"/>
      <c r="HW14" s="543"/>
      <c r="HX14" s="543"/>
      <c r="HY14" s="543"/>
      <c r="HZ14" s="543"/>
      <c r="IA14" s="543"/>
      <c r="IB14" s="543"/>
      <c r="IC14" s="543"/>
      <c r="ID14" s="543"/>
      <c r="IE14" s="543"/>
      <c r="IF14" s="543"/>
      <c r="IG14" s="543"/>
      <c r="IH14" s="543"/>
      <c r="II14" s="543"/>
      <c r="IJ14" s="543"/>
      <c r="IK14" s="543"/>
      <c r="IL14" s="543"/>
      <c r="IM14" s="543"/>
      <c r="IN14" s="543"/>
      <c r="IO14" s="543"/>
      <c r="IP14" s="543"/>
      <c r="IQ14" s="543"/>
      <c r="IR14" s="543"/>
      <c r="IS14" s="543"/>
      <c r="IT14" s="543"/>
      <c r="IU14" s="543"/>
    </row>
    <row r="15" spans="1:255" ht="15">
      <c r="A15" s="541" t="s">
        <v>68</v>
      </c>
      <c r="B15" s="250" t="s">
        <v>660</v>
      </c>
      <c r="C15" s="95" t="s">
        <v>172</v>
      </c>
      <c r="D15" s="831">
        <f>$C$7*11*9</f>
        <v>990</v>
      </c>
      <c r="E15" s="246" t="e">
        <f>'№5.1Демонтаж БУ'!#REF!</f>
        <v>#REF!</v>
      </c>
      <c r="F15" s="267" t="e">
        <f>ROUND(D15*E15,2)</f>
        <v>#REF!</v>
      </c>
      <c r="G15" s="544"/>
      <c r="H15" s="544"/>
      <c r="I15" s="543"/>
      <c r="J15" s="543"/>
      <c r="K15" s="543"/>
      <c r="L15" s="543"/>
      <c r="M15" s="544"/>
      <c r="N15" s="544"/>
      <c r="O15" s="544"/>
      <c r="P15" s="543"/>
      <c r="Q15" s="543"/>
      <c r="R15" s="543"/>
      <c r="S15" s="543"/>
      <c r="T15" s="543"/>
      <c r="U15" s="543"/>
      <c r="V15" s="543"/>
      <c r="W15" s="543"/>
      <c r="X15" s="543"/>
      <c r="Y15" s="543"/>
      <c r="Z15" s="543"/>
      <c r="AA15" s="543"/>
      <c r="AB15" s="543"/>
      <c r="AC15" s="543"/>
      <c r="AD15" s="543"/>
      <c r="AE15" s="543"/>
      <c r="AF15" s="543"/>
      <c r="AG15" s="543"/>
      <c r="AH15" s="543"/>
      <c r="AI15" s="543"/>
      <c r="AJ15" s="543"/>
      <c r="AK15" s="543"/>
      <c r="AL15" s="543"/>
      <c r="AM15" s="543"/>
      <c r="AN15" s="543"/>
      <c r="AO15" s="543"/>
      <c r="AP15" s="543"/>
      <c r="AQ15" s="543"/>
      <c r="AR15" s="543"/>
      <c r="AS15" s="543"/>
      <c r="AT15" s="543"/>
      <c r="AU15" s="543"/>
      <c r="AV15" s="543"/>
      <c r="AW15" s="543"/>
      <c r="AX15" s="543"/>
      <c r="AY15" s="543"/>
      <c r="AZ15" s="543"/>
      <c r="BA15" s="543"/>
      <c r="BB15" s="543"/>
      <c r="BC15" s="543"/>
      <c r="BD15" s="543"/>
      <c r="BE15" s="543"/>
      <c r="BF15" s="543"/>
      <c r="BG15" s="543"/>
      <c r="BH15" s="543"/>
      <c r="BI15" s="543"/>
      <c r="BJ15" s="543"/>
      <c r="BK15" s="543"/>
      <c r="BL15" s="543"/>
      <c r="BM15" s="543"/>
      <c r="BN15" s="543"/>
      <c r="BO15" s="543"/>
      <c r="BP15" s="543"/>
      <c r="BQ15" s="543"/>
      <c r="BR15" s="543"/>
      <c r="BS15" s="543"/>
      <c r="BT15" s="543"/>
      <c r="BU15" s="543"/>
      <c r="BV15" s="543"/>
      <c r="BW15" s="543"/>
      <c r="BX15" s="543"/>
      <c r="BY15" s="543"/>
      <c r="BZ15" s="543"/>
      <c r="CA15" s="543"/>
      <c r="CB15" s="543"/>
      <c r="CC15" s="543"/>
      <c r="CD15" s="543"/>
      <c r="CE15" s="543"/>
      <c r="CF15" s="543"/>
      <c r="CG15" s="543"/>
      <c r="CH15" s="543"/>
      <c r="CI15" s="543"/>
      <c r="CJ15" s="543"/>
      <c r="CK15" s="543"/>
      <c r="CL15" s="543"/>
      <c r="CM15" s="543"/>
      <c r="CN15" s="543"/>
      <c r="CO15" s="543"/>
      <c r="CP15" s="543"/>
      <c r="CQ15" s="543"/>
      <c r="CR15" s="543"/>
      <c r="CS15" s="543"/>
      <c r="CT15" s="543"/>
      <c r="CU15" s="543"/>
      <c r="CV15" s="543"/>
      <c r="CW15" s="543"/>
      <c r="CX15" s="543"/>
      <c r="CY15" s="543"/>
      <c r="CZ15" s="543"/>
      <c r="DA15" s="543"/>
      <c r="DB15" s="543"/>
      <c r="DC15" s="543"/>
      <c r="DD15" s="543"/>
      <c r="DE15" s="543"/>
      <c r="DF15" s="543"/>
      <c r="DG15" s="543"/>
      <c r="DH15" s="543"/>
      <c r="DI15" s="543"/>
      <c r="DJ15" s="543"/>
      <c r="DK15" s="543"/>
      <c r="DL15" s="543"/>
      <c r="DM15" s="543"/>
      <c r="DN15" s="543"/>
      <c r="DO15" s="543"/>
      <c r="DP15" s="543"/>
      <c r="DQ15" s="543"/>
      <c r="DR15" s="543"/>
      <c r="DS15" s="543"/>
      <c r="DT15" s="543"/>
      <c r="DU15" s="543"/>
      <c r="DV15" s="543"/>
      <c r="DW15" s="543"/>
      <c r="DX15" s="543"/>
      <c r="DY15" s="543"/>
      <c r="DZ15" s="543"/>
      <c r="EA15" s="543"/>
      <c r="EB15" s="543"/>
      <c r="EC15" s="543"/>
      <c r="ED15" s="543"/>
      <c r="EE15" s="543"/>
      <c r="EF15" s="543"/>
      <c r="EG15" s="543"/>
      <c r="EH15" s="543"/>
      <c r="EI15" s="543"/>
      <c r="EJ15" s="543"/>
      <c r="EK15" s="543"/>
      <c r="EL15" s="543"/>
      <c r="EM15" s="543"/>
      <c r="EN15" s="543"/>
      <c r="EO15" s="543"/>
      <c r="EP15" s="543"/>
      <c r="EQ15" s="543"/>
      <c r="ER15" s="543"/>
      <c r="ES15" s="543"/>
      <c r="ET15" s="543"/>
      <c r="EU15" s="543"/>
      <c r="EV15" s="543"/>
      <c r="EW15" s="543"/>
      <c r="EX15" s="543"/>
      <c r="EY15" s="543"/>
      <c r="EZ15" s="543"/>
      <c r="FA15" s="543"/>
      <c r="FB15" s="543"/>
      <c r="FC15" s="543"/>
      <c r="FD15" s="543"/>
      <c r="FE15" s="543"/>
      <c r="FF15" s="543"/>
      <c r="FG15" s="543"/>
      <c r="FH15" s="543"/>
      <c r="FI15" s="543"/>
      <c r="FJ15" s="543"/>
      <c r="FK15" s="543"/>
      <c r="FL15" s="543"/>
      <c r="FM15" s="543"/>
      <c r="FN15" s="543"/>
      <c r="FO15" s="543"/>
      <c r="FP15" s="543"/>
      <c r="FQ15" s="543"/>
      <c r="FR15" s="543"/>
      <c r="FS15" s="543"/>
      <c r="FT15" s="543"/>
      <c r="FU15" s="543"/>
      <c r="FV15" s="543"/>
      <c r="FW15" s="543"/>
      <c r="FX15" s="543"/>
      <c r="FY15" s="543"/>
      <c r="FZ15" s="543"/>
      <c r="GA15" s="543"/>
      <c r="GB15" s="543"/>
      <c r="GC15" s="543"/>
      <c r="GD15" s="543"/>
      <c r="GE15" s="543"/>
      <c r="GF15" s="543"/>
      <c r="GG15" s="543"/>
      <c r="GH15" s="543"/>
      <c r="GI15" s="543"/>
      <c r="GJ15" s="543"/>
      <c r="GK15" s="543"/>
      <c r="GL15" s="543"/>
      <c r="GM15" s="543"/>
      <c r="GN15" s="543"/>
      <c r="GO15" s="543"/>
      <c r="GP15" s="543"/>
      <c r="GQ15" s="543"/>
      <c r="GR15" s="543"/>
      <c r="GS15" s="543"/>
      <c r="GT15" s="543"/>
      <c r="GU15" s="543"/>
      <c r="GV15" s="543"/>
      <c r="GW15" s="543"/>
      <c r="GX15" s="543"/>
      <c r="GY15" s="543"/>
      <c r="GZ15" s="543"/>
      <c r="HA15" s="543"/>
      <c r="HB15" s="543"/>
      <c r="HC15" s="543"/>
      <c r="HD15" s="543"/>
      <c r="HE15" s="543"/>
      <c r="HF15" s="543"/>
      <c r="HG15" s="543"/>
      <c r="HH15" s="543"/>
      <c r="HI15" s="543"/>
      <c r="HJ15" s="543"/>
      <c r="HK15" s="543"/>
      <c r="HL15" s="543"/>
      <c r="HM15" s="543"/>
      <c r="HN15" s="543"/>
      <c r="HO15" s="543"/>
      <c r="HP15" s="543"/>
      <c r="HQ15" s="543"/>
      <c r="HR15" s="543"/>
      <c r="HS15" s="543"/>
      <c r="HT15" s="543"/>
      <c r="HU15" s="543"/>
      <c r="HV15" s="543"/>
      <c r="HW15" s="543"/>
      <c r="HX15" s="543"/>
      <c r="HY15" s="543"/>
      <c r="HZ15" s="543"/>
      <c r="IA15" s="543"/>
      <c r="IB15" s="543"/>
      <c r="IC15" s="543"/>
      <c r="ID15" s="543"/>
      <c r="IE15" s="543"/>
      <c r="IF15" s="543"/>
      <c r="IG15" s="543"/>
      <c r="IH15" s="543"/>
      <c r="II15" s="543"/>
      <c r="IJ15" s="543"/>
      <c r="IK15" s="543"/>
      <c r="IL15" s="543"/>
      <c r="IM15" s="543"/>
      <c r="IN15" s="543"/>
      <c r="IO15" s="543"/>
      <c r="IP15" s="543"/>
      <c r="IQ15" s="543"/>
      <c r="IR15" s="543"/>
      <c r="IS15" s="543"/>
      <c r="IT15" s="543"/>
      <c r="IU15" s="543"/>
    </row>
    <row r="16" spans="1:255" ht="15">
      <c r="A16" s="541" t="s">
        <v>276</v>
      </c>
      <c r="B16" s="385" t="s">
        <v>606</v>
      </c>
      <c r="C16" s="95" t="s">
        <v>172</v>
      </c>
      <c r="D16" s="831">
        <f>$C$7*11*6</f>
        <v>660</v>
      </c>
      <c r="E16" s="246" t="e">
        <f>'№5.1Демонтаж БУ'!#REF!</f>
        <v>#REF!</v>
      </c>
      <c r="F16" s="267" t="e">
        <f>ROUND(D16*E16,2)</f>
        <v>#REF!</v>
      </c>
      <c r="G16" s="544"/>
      <c r="H16" s="544"/>
      <c r="I16" s="543"/>
      <c r="J16" s="543"/>
      <c r="K16" s="543"/>
      <c r="L16" s="543"/>
      <c r="M16" s="544"/>
      <c r="N16" s="544"/>
      <c r="O16" s="544"/>
      <c r="P16" s="543"/>
      <c r="Q16" s="543"/>
      <c r="R16" s="543"/>
      <c r="S16" s="543"/>
      <c r="T16" s="543"/>
      <c r="U16" s="543"/>
      <c r="V16" s="543"/>
      <c r="W16" s="543"/>
      <c r="X16" s="543"/>
      <c r="Y16" s="543"/>
      <c r="Z16" s="543"/>
      <c r="AA16" s="543"/>
      <c r="AB16" s="543"/>
      <c r="AC16" s="543"/>
      <c r="AD16" s="543"/>
      <c r="AE16" s="543"/>
      <c r="AF16" s="543"/>
      <c r="AG16" s="543"/>
      <c r="AH16" s="543"/>
      <c r="AI16" s="543"/>
      <c r="AJ16" s="543"/>
      <c r="AK16" s="543"/>
      <c r="AL16" s="543"/>
      <c r="AM16" s="543"/>
      <c r="AN16" s="543"/>
      <c r="AO16" s="543"/>
      <c r="AP16" s="543"/>
      <c r="AQ16" s="543"/>
      <c r="AR16" s="543"/>
      <c r="AS16" s="543"/>
      <c r="AT16" s="543"/>
      <c r="AU16" s="543"/>
      <c r="AV16" s="543"/>
      <c r="AW16" s="543"/>
      <c r="AX16" s="543"/>
      <c r="AY16" s="543"/>
      <c r="AZ16" s="543"/>
      <c r="BA16" s="543"/>
      <c r="BB16" s="543"/>
      <c r="BC16" s="543"/>
      <c r="BD16" s="543"/>
      <c r="BE16" s="543"/>
      <c r="BF16" s="543"/>
      <c r="BG16" s="543"/>
      <c r="BH16" s="543"/>
      <c r="BI16" s="543"/>
      <c r="BJ16" s="543"/>
      <c r="BK16" s="543"/>
      <c r="BL16" s="543"/>
      <c r="BM16" s="543"/>
      <c r="BN16" s="543"/>
      <c r="BO16" s="543"/>
      <c r="BP16" s="543"/>
      <c r="BQ16" s="543"/>
      <c r="BR16" s="543"/>
      <c r="BS16" s="543"/>
      <c r="BT16" s="543"/>
      <c r="BU16" s="543"/>
      <c r="BV16" s="543"/>
      <c r="BW16" s="543"/>
      <c r="BX16" s="543"/>
      <c r="BY16" s="543"/>
      <c r="BZ16" s="543"/>
      <c r="CA16" s="543"/>
      <c r="CB16" s="543"/>
      <c r="CC16" s="543"/>
      <c r="CD16" s="543"/>
      <c r="CE16" s="543"/>
      <c r="CF16" s="543"/>
      <c r="CG16" s="543"/>
      <c r="CH16" s="543"/>
      <c r="CI16" s="543"/>
      <c r="CJ16" s="543"/>
      <c r="CK16" s="543"/>
      <c r="CL16" s="543"/>
      <c r="CM16" s="543"/>
      <c r="CN16" s="543"/>
      <c r="CO16" s="543"/>
      <c r="CP16" s="543"/>
      <c r="CQ16" s="543"/>
      <c r="CR16" s="543"/>
      <c r="CS16" s="543"/>
      <c r="CT16" s="543"/>
      <c r="CU16" s="543"/>
      <c r="CV16" s="543"/>
      <c r="CW16" s="543"/>
      <c r="CX16" s="543"/>
      <c r="CY16" s="543"/>
      <c r="CZ16" s="543"/>
      <c r="DA16" s="543"/>
      <c r="DB16" s="543"/>
      <c r="DC16" s="543"/>
      <c r="DD16" s="543"/>
      <c r="DE16" s="543"/>
      <c r="DF16" s="543"/>
      <c r="DG16" s="543"/>
      <c r="DH16" s="543"/>
      <c r="DI16" s="543"/>
      <c r="DJ16" s="543"/>
      <c r="DK16" s="543"/>
      <c r="DL16" s="543"/>
      <c r="DM16" s="543"/>
      <c r="DN16" s="543"/>
      <c r="DO16" s="543"/>
      <c r="DP16" s="543"/>
      <c r="DQ16" s="543"/>
      <c r="DR16" s="543"/>
      <c r="DS16" s="543"/>
      <c r="DT16" s="543"/>
      <c r="DU16" s="543"/>
      <c r="DV16" s="543"/>
      <c r="DW16" s="543"/>
      <c r="DX16" s="543"/>
      <c r="DY16" s="543"/>
      <c r="DZ16" s="543"/>
      <c r="EA16" s="543"/>
      <c r="EB16" s="543"/>
      <c r="EC16" s="543"/>
      <c r="ED16" s="543"/>
      <c r="EE16" s="543"/>
      <c r="EF16" s="543"/>
      <c r="EG16" s="543"/>
      <c r="EH16" s="543"/>
      <c r="EI16" s="543"/>
      <c r="EJ16" s="543"/>
      <c r="EK16" s="543"/>
      <c r="EL16" s="543"/>
      <c r="EM16" s="543"/>
      <c r="EN16" s="543"/>
      <c r="EO16" s="543"/>
      <c r="EP16" s="543"/>
      <c r="EQ16" s="543"/>
      <c r="ER16" s="543"/>
      <c r="ES16" s="543"/>
      <c r="ET16" s="543"/>
      <c r="EU16" s="543"/>
      <c r="EV16" s="543"/>
      <c r="EW16" s="543"/>
      <c r="EX16" s="543"/>
      <c r="EY16" s="543"/>
      <c r="EZ16" s="543"/>
      <c r="FA16" s="543"/>
      <c r="FB16" s="543"/>
      <c r="FC16" s="543"/>
      <c r="FD16" s="543"/>
      <c r="FE16" s="543"/>
      <c r="FF16" s="543"/>
      <c r="FG16" s="543"/>
      <c r="FH16" s="543"/>
      <c r="FI16" s="543"/>
      <c r="FJ16" s="543"/>
      <c r="FK16" s="543"/>
      <c r="FL16" s="543"/>
      <c r="FM16" s="543"/>
      <c r="FN16" s="543"/>
      <c r="FO16" s="543"/>
      <c r="FP16" s="543"/>
      <c r="FQ16" s="543"/>
      <c r="FR16" s="543"/>
      <c r="FS16" s="543"/>
      <c r="FT16" s="543"/>
      <c r="FU16" s="543"/>
      <c r="FV16" s="543"/>
      <c r="FW16" s="543"/>
      <c r="FX16" s="543"/>
      <c r="FY16" s="543"/>
      <c r="FZ16" s="543"/>
      <c r="GA16" s="543"/>
      <c r="GB16" s="543"/>
      <c r="GC16" s="543"/>
      <c r="GD16" s="543"/>
      <c r="GE16" s="543"/>
      <c r="GF16" s="543"/>
      <c r="GG16" s="543"/>
      <c r="GH16" s="543"/>
      <c r="GI16" s="543"/>
      <c r="GJ16" s="543"/>
      <c r="GK16" s="543"/>
      <c r="GL16" s="543"/>
      <c r="GM16" s="543"/>
      <c r="GN16" s="543"/>
      <c r="GO16" s="543"/>
      <c r="GP16" s="543"/>
      <c r="GQ16" s="543"/>
      <c r="GR16" s="543"/>
      <c r="GS16" s="543"/>
      <c r="GT16" s="543"/>
      <c r="GU16" s="543"/>
      <c r="GV16" s="543"/>
      <c r="GW16" s="543"/>
      <c r="GX16" s="543"/>
      <c r="GY16" s="543"/>
      <c r="GZ16" s="543"/>
      <c r="HA16" s="543"/>
      <c r="HB16" s="543"/>
      <c r="HC16" s="543"/>
      <c r="HD16" s="543"/>
      <c r="HE16" s="543"/>
      <c r="HF16" s="543"/>
      <c r="HG16" s="543"/>
      <c r="HH16" s="543"/>
      <c r="HI16" s="543"/>
      <c r="HJ16" s="543"/>
      <c r="HK16" s="543"/>
      <c r="HL16" s="543"/>
      <c r="HM16" s="543"/>
      <c r="HN16" s="543"/>
      <c r="HO16" s="543"/>
      <c r="HP16" s="543"/>
      <c r="HQ16" s="543"/>
      <c r="HR16" s="543"/>
      <c r="HS16" s="543"/>
      <c r="HT16" s="543"/>
      <c r="HU16" s="543"/>
      <c r="HV16" s="543"/>
      <c r="HW16" s="543"/>
      <c r="HX16" s="543"/>
      <c r="HY16" s="543"/>
      <c r="HZ16" s="543"/>
      <c r="IA16" s="543"/>
      <c r="IB16" s="543"/>
      <c r="IC16" s="543"/>
      <c r="ID16" s="543"/>
      <c r="IE16" s="543"/>
      <c r="IF16" s="543"/>
      <c r="IG16" s="543"/>
      <c r="IH16" s="543"/>
      <c r="II16" s="543"/>
      <c r="IJ16" s="543"/>
      <c r="IK16" s="543"/>
      <c r="IL16" s="543"/>
      <c r="IM16" s="543"/>
      <c r="IN16" s="543"/>
      <c r="IO16" s="543"/>
      <c r="IP16" s="543"/>
      <c r="IQ16" s="543"/>
      <c r="IR16" s="543"/>
      <c r="IS16" s="543"/>
      <c r="IT16" s="543"/>
      <c r="IU16" s="543"/>
    </row>
    <row r="17" spans="1:255" ht="15">
      <c r="A17" s="545"/>
      <c r="B17" s="524" t="s">
        <v>20</v>
      </c>
      <c r="C17" s="524"/>
      <c r="D17" s="550"/>
      <c r="E17" s="524"/>
      <c r="F17" s="522"/>
      <c r="G17" s="544"/>
      <c r="H17" s="544"/>
      <c r="M17" s="544"/>
      <c r="N17" s="544"/>
      <c r="O17" s="544"/>
    </row>
    <row r="18" spans="1:255" ht="15">
      <c r="A18" s="545"/>
      <c r="B18" s="546" t="s">
        <v>81</v>
      </c>
      <c r="C18" s="524"/>
      <c r="D18" s="542"/>
      <c r="E18" s="547"/>
      <c r="F18" s="548" t="e">
        <f>SUM(F13:F17)</f>
        <v>#REF!</v>
      </c>
      <c r="G18" s="544"/>
      <c r="H18" s="544"/>
      <c r="M18" s="544"/>
      <c r="N18" s="544"/>
      <c r="O18" s="544"/>
    </row>
    <row r="19" spans="1:255" ht="14.25">
      <c r="A19" s="549" t="s">
        <v>5</v>
      </c>
      <c r="B19" s="2362" t="s">
        <v>89</v>
      </c>
      <c r="C19" s="2362"/>
      <c r="D19" s="2362"/>
      <c r="E19" s="2362"/>
      <c r="F19" s="2363"/>
      <c r="G19" s="544"/>
      <c r="H19" s="544"/>
      <c r="M19" s="544"/>
      <c r="N19" s="544"/>
      <c r="O19" s="544"/>
    </row>
    <row r="20" spans="1:255" ht="24">
      <c r="A20" s="549"/>
      <c r="B20" s="538" t="s">
        <v>73</v>
      </c>
      <c r="C20" s="2360"/>
      <c r="D20" s="2360"/>
      <c r="E20" s="2360"/>
      <c r="F20" s="2361"/>
      <c r="G20" s="544"/>
      <c r="H20" s="544"/>
      <c r="M20" s="544"/>
      <c r="N20" s="544"/>
      <c r="O20" s="544"/>
    </row>
    <row r="21" spans="1:255" ht="15">
      <c r="A21" s="545" t="s">
        <v>7</v>
      </c>
      <c r="B21" s="68" t="s">
        <v>755</v>
      </c>
      <c r="C21" s="64" t="s">
        <v>163</v>
      </c>
      <c r="D21" s="262">
        <f>C7*11</f>
        <v>110</v>
      </c>
      <c r="E21" s="990">
        <f>'№5.1Демонтаж БУ'!E22</f>
        <v>0</v>
      </c>
      <c r="F21" s="298">
        <f>ROUND(D21*E21,2)</f>
        <v>0</v>
      </c>
      <c r="G21" s="544"/>
      <c r="H21" s="544"/>
      <c r="M21" s="544"/>
      <c r="N21" s="544"/>
      <c r="O21" s="544"/>
    </row>
    <row r="22" spans="1:255" ht="15">
      <c r="A22" s="545" t="s">
        <v>6</v>
      </c>
      <c r="B22" s="68" t="s">
        <v>650</v>
      </c>
      <c r="C22" s="64" t="s">
        <v>163</v>
      </c>
      <c r="D22" s="262">
        <f>C7*11</f>
        <v>110</v>
      </c>
      <c r="E22" s="295">
        <f>'№5.1Демонтаж БУ'!E23</f>
        <v>0</v>
      </c>
      <c r="F22" s="298">
        <f>ROUND(D22*E22,2)</f>
        <v>0</v>
      </c>
      <c r="G22" s="544"/>
      <c r="H22" s="544"/>
      <c r="M22" s="544"/>
      <c r="N22" s="544"/>
      <c r="O22" s="544"/>
    </row>
    <row r="23" spans="1:255" ht="15">
      <c r="A23" s="545"/>
      <c r="B23" s="524" t="s">
        <v>20</v>
      </c>
      <c r="C23" s="524"/>
      <c r="D23" s="550"/>
      <c r="E23" s="524"/>
      <c r="F23" s="522"/>
      <c r="G23" s="544"/>
      <c r="H23" s="544"/>
      <c r="M23" s="544"/>
      <c r="N23" s="544"/>
      <c r="O23" s="544"/>
    </row>
    <row r="24" spans="1:255" ht="15">
      <c r="A24" s="545"/>
      <c r="B24" s="551" t="s">
        <v>80</v>
      </c>
      <c r="C24" s="524"/>
      <c r="D24" s="550"/>
      <c r="E24" s="524"/>
      <c r="F24" s="548">
        <f>SUM(F21:F23)</f>
        <v>0</v>
      </c>
      <c r="G24" s="544"/>
      <c r="H24" s="544"/>
      <c r="M24" s="544"/>
      <c r="N24" s="544"/>
      <c r="O24" s="544"/>
    </row>
    <row r="25" spans="1:255" ht="14.25">
      <c r="A25" s="549" t="s">
        <v>21</v>
      </c>
      <c r="B25" s="2362" t="s">
        <v>17</v>
      </c>
      <c r="C25" s="2362"/>
      <c r="D25" s="2362"/>
      <c r="E25" s="2362"/>
      <c r="F25" s="2363"/>
      <c r="G25" s="544"/>
      <c r="H25" s="544"/>
      <c r="M25" s="544"/>
      <c r="N25" s="544"/>
      <c r="O25" s="544"/>
    </row>
    <row r="26" spans="1:255" ht="48">
      <c r="A26" s="549"/>
      <c r="B26" s="538" t="s">
        <v>131</v>
      </c>
      <c r="C26" s="552" t="s">
        <v>106</v>
      </c>
      <c r="D26" s="2360"/>
      <c r="E26" s="2360"/>
      <c r="F26" s="2361"/>
      <c r="G26" s="544"/>
      <c r="H26" s="544"/>
      <c r="M26" s="544"/>
      <c r="N26" s="544"/>
      <c r="O26" s="544"/>
    </row>
    <row r="27" spans="1:255" ht="16.5" hidden="1">
      <c r="A27" s="553">
        <v>1</v>
      </c>
      <c r="B27" s="292"/>
      <c r="C27" s="293" t="s">
        <v>282</v>
      </c>
      <c r="D27" s="294"/>
      <c r="E27" s="279"/>
      <c r="F27" s="270">
        <f>ROUND(D27*E27,2)</f>
        <v>0</v>
      </c>
      <c r="G27" s="544"/>
      <c r="H27" s="544"/>
      <c r="M27" s="544"/>
      <c r="N27" s="544"/>
      <c r="O27" s="544"/>
      <c r="P27" s="543"/>
      <c r="Q27" s="543"/>
      <c r="R27" s="543"/>
      <c r="S27" s="543"/>
      <c r="T27" s="543"/>
      <c r="U27" s="543"/>
      <c r="V27" s="543"/>
      <c r="W27" s="543"/>
      <c r="X27" s="543"/>
      <c r="Y27" s="543"/>
      <c r="Z27" s="543"/>
      <c r="AA27" s="543"/>
      <c r="AB27" s="543"/>
      <c r="AC27" s="543"/>
      <c r="AD27" s="543"/>
      <c r="AE27" s="543"/>
      <c r="AF27" s="543"/>
      <c r="AG27" s="543"/>
      <c r="AH27" s="543"/>
      <c r="AI27" s="543"/>
      <c r="AJ27" s="543"/>
      <c r="AK27" s="543"/>
      <c r="AL27" s="543"/>
      <c r="AM27" s="543"/>
      <c r="AN27" s="543"/>
      <c r="AO27" s="543"/>
      <c r="AP27" s="543"/>
      <c r="AQ27" s="543"/>
      <c r="AR27" s="543"/>
      <c r="AS27" s="543"/>
      <c r="AT27" s="543"/>
      <c r="AU27" s="543"/>
      <c r="AV27" s="543"/>
      <c r="AW27" s="543"/>
      <c r="AX27" s="543"/>
      <c r="AY27" s="543"/>
      <c r="AZ27" s="543"/>
      <c r="BA27" s="543"/>
      <c r="BB27" s="543"/>
      <c r="BC27" s="543"/>
      <c r="BD27" s="543"/>
      <c r="BE27" s="543"/>
      <c r="BF27" s="543"/>
      <c r="BG27" s="543"/>
      <c r="BH27" s="543"/>
      <c r="BI27" s="543"/>
      <c r="BJ27" s="543"/>
      <c r="BK27" s="543"/>
      <c r="BL27" s="543"/>
      <c r="BM27" s="543"/>
      <c r="BN27" s="543"/>
      <c r="BO27" s="543"/>
      <c r="BP27" s="543"/>
      <c r="BQ27" s="543"/>
      <c r="BR27" s="543"/>
      <c r="BS27" s="543"/>
      <c r="BT27" s="543"/>
      <c r="BU27" s="543"/>
      <c r="BV27" s="543"/>
      <c r="BW27" s="543"/>
      <c r="BX27" s="543"/>
      <c r="BY27" s="543"/>
      <c r="BZ27" s="543"/>
      <c r="CA27" s="543"/>
      <c r="CB27" s="543"/>
      <c r="CC27" s="543"/>
      <c r="CD27" s="543"/>
      <c r="CE27" s="543"/>
      <c r="CF27" s="543"/>
      <c r="CG27" s="543"/>
      <c r="CH27" s="543"/>
      <c r="CI27" s="543"/>
      <c r="CJ27" s="543"/>
      <c r="CK27" s="543"/>
      <c r="CL27" s="543"/>
      <c r="CM27" s="543"/>
      <c r="CN27" s="543"/>
      <c r="CO27" s="543"/>
      <c r="CP27" s="543"/>
      <c r="CQ27" s="543"/>
      <c r="CR27" s="543"/>
      <c r="CS27" s="543"/>
      <c r="CT27" s="543"/>
      <c r="CU27" s="543"/>
      <c r="CV27" s="543"/>
      <c r="CW27" s="543"/>
      <c r="CX27" s="543"/>
      <c r="CY27" s="543"/>
      <c r="CZ27" s="543"/>
      <c r="DA27" s="543"/>
      <c r="DB27" s="543"/>
      <c r="DC27" s="543"/>
      <c r="DD27" s="543"/>
      <c r="DE27" s="543"/>
      <c r="DF27" s="543"/>
      <c r="DG27" s="543"/>
      <c r="DH27" s="543"/>
      <c r="DI27" s="543"/>
      <c r="DJ27" s="543"/>
      <c r="DK27" s="543"/>
      <c r="DL27" s="543"/>
      <c r="DM27" s="543"/>
      <c r="DN27" s="543"/>
      <c r="DO27" s="543"/>
      <c r="DP27" s="543"/>
      <c r="DQ27" s="543"/>
      <c r="DR27" s="543"/>
      <c r="DS27" s="543"/>
      <c r="DT27" s="543"/>
      <c r="DU27" s="543"/>
      <c r="DV27" s="543"/>
      <c r="DW27" s="543"/>
      <c r="DX27" s="543"/>
      <c r="DY27" s="543"/>
      <c r="DZ27" s="543"/>
      <c r="EA27" s="543"/>
      <c r="EB27" s="543"/>
      <c r="EC27" s="543"/>
      <c r="ED27" s="543"/>
      <c r="EE27" s="543"/>
      <c r="EF27" s="543"/>
      <c r="EG27" s="543"/>
      <c r="EH27" s="543"/>
      <c r="EI27" s="543"/>
      <c r="EJ27" s="543"/>
      <c r="EK27" s="543"/>
      <c r="EL27" s="543"/>
      <c r="EM27" s="543"/>
      <c r="EN27" s="543"/>
      <c r="EO27" s="543"/>
      <c r="EP27" s="543"/>
      <c r="EQ27" s="543"/>
      <c r="ER27" s="543"/>
      <c r="ES27" s="543"/>
      <c r="ET27" s="543"/>
      <c r="EU27" s="543"/>
      <c r="EV27" s="543"/>
      <c r="EW27" s="543"/>
      <c r="EX27" s="543"/>
      <c r="EY27" s="543"/>
      <c r="EZ27" s="543"/>
      <c r="FA27" s="543"/>
      <c r="FB27" s="543"/>
      <c r="FC27" s="543"/>
      <c r="FD27" s="543"/>
      <c r="FE27" s="543"/>
      <c r="FF27" s="543"/>
      <c r="FG27" s="543"/>
      <c r="FH27" s="543"/>
      <c r="FI27" s="543"/>
      <c r="FJ27" s="543"/>
      <c r="FK27" s="543"/>
      <c r="FL27" s="543"/>
      <c r="FM27" s="543"/>
      <c r="FN27" s="543"/>
      <c r="FO27" s="543"/>
      <c r="FP27" s="543"/>
      <c r="FQ27" s="543"/>
      <c r="FR27" s="543"/>
      <c r="FS27" s="543"/>
      <c r="FT27" s="543"/>
      <c r="FU27" s="543"/>
      <c r="FV27" s="543"/>
      <c r="FW27" s="543"/>
      <c r="FX27" s="543"/>
      <c r="FY27" s="543"/>
      <c r="FZ27" s="543"/>
      <c r="GA27" s="543"/>
      <c r="GB27" s="543"/>
      <c r="GC27" s="543"/>
      <c r="GD27" s="543"/>
      <c r="GE27" s="543"/>
      <c r="GF27" s="543"/>
      <c r="GG27" s="543"/>
      <c r="GH27" s="543"/>
      <c r="GI27" s="543"/>
      <c r="GJ27" s="543"/>
      <c r="GK27" s="543"/>
      <c r="GL27" s="543"/>
      <c r="GM27" s="543"/>
      <c r="GN27" s="543"/>
      <c r="GO27" s="543"/>
      <c r="GP27" s="543"/>
      <c r="GQ27" s="543"/>
      <c r="GR27" s="543"/>
      <c r="GS27" s="543"/>
      <c r="GT27" s="543"/>
      <c r="GU27" s="543"/>
      <c r="GV27" s="543"/>
      <c r="GW27" s="543"/>
      <c r="GX27" s="543"/>
      <c r="GY27" s="543"/>
      <c r="GZ27" s="543"/>
      <c r="HA27" s="543"/>
      <c r="HB27" s="543"/>
      <c r="HC27" s="543"/>
      <c r="HD27" s="543"/>
      <c r="HE27" s="543"/>
      <c r="HF27" s="543"/>
      <c r="HG27" s="543"/>
      <c r="HH27" s="543"/>
      <c r="HI27" s="543"/>
      <c r="HJ27" s="543"/>
      <c r="HK27" s="543"/>
      <c r="HL27" s="543"/>
      <c r="HM27" s="543"/>
      <c r="HN27" s="543"/>
      <c r="HO27" s="543"/>
      <c r="HP27" s="543"/>
      <c r="HQ27" s="543"/>
      <c r="HR27" s="543"/>
      <c r="HS27" s="543"/>
      <c r="HT27" s="543"/>
      <c r="HU27" s="543"/>
      <c r="HV27" s="543"/>
      <c r="HW27" s="543"/>
      <c r="HX27" s="543"/>
      <c r="HY27" s="543"/>
      <c r="HZ27" s="543"/>
      <c r="IA27" s="543"/>
      <c r="IB27" s="543"/>
      <c r="IC27" s="543"/>
      <c r="ID27" s="543"/>
      <c r="IE27" s="543"/>
      <c r="IF27" s="543"/>
      <c r="IG27" s="543"/>
      <c r="IH27" s="543"/>
      <c r="II27" s="543"/>
      <c r="IJ27" s="543"/>
      <c r="IK27" s="543"/>
      <c r="IL27" s="543"/>
      <c r="IM27" s="543"/>
      <c r="IN27" s="543"/>
      <c r="IO27" s="543"/>
      <c r="IP27" s="543"/>
      <c r="IQ27" s="543"/>
      <c r="IR27" s="543"/>
      <c r="IS27" s="543"/>
      <c r="IT27" s="543"/>
      <c r="IU27" s="543"/>
    </row>
    <row r="28" spans="1:255" ht="15" hidden="1">
      <c r="A28" s="553">
        <v>2</v>
      </c>
      <c r="B28" s="292"/>
      <c r="C28" s="293" t="s">
        <v>289</v>
      </c>
      <c r="D28" s="294"/>
      <c r="E28" s="279"/>
      <c r="F28" s="270">
        <f t="shared" ref="F28:F37" si="0">ROUND(D28*E28,2)</f>
        <v>0</v>
      </c>
      <c r="G28" s="544"/>
      <c r="H28" s="544"/>
      <c r="M28" s="544"/>
      <c r="N28" s="544"/>
      <c r="O28" s="544"/>
      <c r="P28" s="543"/>
      <c r="Q28" s="543"/>
      <c r="R28" s="543"/>
      <c r="S28" s="543"/>
      <c r="T28" s="543"/>
      <c r="U28" s="543"/>
      <c r="V28" s="543"/>
      <c r="W28" s="543"/>
      <c r="X28" s="543"/>
      <c r="Y28" s="543"/>
      <c r="Z28" s="543"/>
      <c r="AA28" s="543"/>
      <c r="AB28" s="543"/>
      <c r="AC28" s="543"/>
      <c r="AD28" s="543"/>
      <c r="AE28" s="543"/>
      <c r="AF28" s="543"/>
      <c r="AG28" s="543"/>
      <c r="AH28" s="543"/>
      <c r="AI28" s="543"/>
      <c r="AJ28" s="543"/>
      <c r="AK28" s="543"/>
      <c r="AL28" s="543"/>
      <c r="AM28" s="543"/>
      <c r="AN28" s="543"/>
      <c r="AO28" s="543"/>
      <c r="AP28" s="543"/>
      <c r="AQ28" s="543"/>
      <c r="AR28" s="543"/>
      <c r="AS28" s="543"/>
      <c r="AT28" s="543"/>
      <c r="AU28" s="543"/>
      <c r="AV28" s="543"/>
      <c r="AW28" s="543"/>
      <c r="AX28" s="543"/>
      <c r="AY28" s="543"/>
      <c r="AZ28" s="543"/>
      <c r="BA28" s="543"/>
      <c r="BB28" s="543"/>
      <c r="BC28" s="543"/>
      <c r="BD28" s="543"/>
      <c r="BE28" s="543"/>
      <c r="BF28" s="543"/>
      <c r="BG28" s="543"/>
      <c r="BH28" s="543"/>
      <c r="BI28" s="543"/>
      <c r="BJ28" s="543"/>
      <c r="BK28" s="543"/>
      <c r="BL28" s="543"/>
      <c r="BM28" s="543"/>
      <c r="BN28" s="543"/>
      <c r="BO28" s="543"/>
      <c r="BP28" s="543"/>
      <c r="BQ28" s="543"/>
      <c r="BR28" s="543"/>
      <c r="BS28" s="543"/>
      <c r="BT28" s="543"/>
      <c r="BU28" s="543"/>
      <c r="BV28" s="543"/>
      <c r="BW28" s="543"/>
      <c r="BX28" s="543"/>
      <c r="BY28" s="543"/>
      <c r="BZ28" s="543"/>
      <c r="CA28" s="543"/>
      <c r="CB28" s="543"/>
      <c r="CC28" s="543"/>
      <c r="CD28" s="543"/>
      <c r="CE28" s="543"/>
      <c r="CF28" s="543"/>
      <c r="CG28" s="543"/>
      <c r="CH28" s="543"/>
      <c r="CI28" s="543"/>
      <c r="CJ28" s="543"/>
      <c r="CK28" s="543"/>
      <c r="CL28" s="543"/>
      <c r="CM28" s="543"/>
      <c r="CN28" s="543"/>
      <c r="CO28" s="543"/>
      <c r="CP28" s="543"/>
      <c r="CQ28" s="543"/>
      <c r="CR28" s="543"/>
      <c r="CS28" s="543"/>
      <c r="CT28" s="543"/>
      <c r="CU28" s="543"/>
      <c r="CV28" s="543"/>
      <c r="CW28" s="543"/>
      <c r="CX28" s="543"/>
      <c r="CY28" s="543"/>
      <c r="CZ28" s="543"/>
      <c r="DA28" s="543"/>
      <c r="DB28" s="543"/>
      <c r="DC28" s="543"/>
      <c r="DD28" s="543"/>
      <c r="DE28" s="543"/>
      <c r="DF28" s="543"/>
      <c r="DG28" s="543"/>
      <c r="DH28" s="543"/>
      <c r="DI28" s="543"/>
      <c r="DJ28" s="543"/>
      <c r="DK28" s="543"/>
      <c r="DL28" s="543"/>
      <c r="DM28" s="543"/>
      <c r="DN28" s="543"/>
      <c r="DO28" s="543"/>
      <c r="DP28" s="543"/>
      <c r="DQ28" s="543"/>
      <c r="DR28" s="543"/>
      <c r="DS28" s="543"/>
      <c r="DT28" s="543"/>
      <c r="DU28" s="543"/>
      <c r="DV28" s="543"/>
      <c r="DW28" s="543"/>
      <c r="DX28" s="543"/>
      <c r="DY28" s="543"/>
      <c r="DZ28" s="543"/>
      <c r="EA28" s="543"/>
      <c r="EB28" s="543"/>
      <c r="EC28" s="543"/>
      <c r="ED28" s="543"/>
      <c r="EE28" s="543"/>
      <c r="EF28" s="543"/>
      <c r="EG28" s="543"/>
      <c r="EH28" s="543"/>
      <c r="EI28" s="543"/>
      <c r="EJ28" s="543"/>
      <c r="EK28" s="543"/>
      <c r="EL28" s="543"/>
      <c r="EM28" s="543"/>
      <c r="EN28" s="543"/>
      <c r="EO28" s="543"/>
      <c r="EP28" s="543"/>
      <c r="EQ28" s="543"/>
      <c r="ER28" s="543"/>
      <c r="ES28" s="543"/>
      <c r="ET28" s="543"/>
      <c r="EU28" s="543"/>
      <c r="EV28" s="543"/>
      <c r="EW28" s="543"/>
      <c r="EX28" s="543"/>
      <c r="EY28" s="543"/>
      <c r="EZ28" s="543"/>
      <c r="FA28" s="543"/>
      <c r="FB28" s="543"/>
      <c r="FC28" s="543"/>
      <c r="FD28" s="543"/>
      <c r="FE28" s="543"/>
      <c r="FF28" s="543"/>
      <c r="FG28" s="543"/>
      <c r="FH28" s="543"/>
      <c r="FI28" s="543"/>
      <c r="FJ28" s="543"/>
      <c r="FK28" s="543"/>
      <c r="FL28" s="543"/>
      <c r="FM28" s="543"/>
      <c r="FN28" s="543"/>
      <c r="FO28" s="543"/>
      <c r="FP28" s="543"/>
      <c r="FQ28" s="543"/>
      <c r="FR28" s="543"/>
      <c r="FS28" s="543"/>
      <c r="FT28" s="543"/>
      <c r="FU28" s="543"/>
      <c r="FV28" s="543"/>
      <c r="FW28" s="543"/>
      <c r="FX28" s="543"/>
      <c r="FY28" s="543"/>
      <c r="FZ28" s="543"/>
      <c r="GA28" s="543"/>
      <c r="GB28" s="543"/>
      <c r="GC28" s="543"/>
      <c r="GD28" s="543"/>
      <c r="GE28" s="543"/>
      <c r="GF28" s="543"/>
      <c r="GG28" s="543"/>
      <c r="GH28" s="543"/>
      <c r="GI28" s="543"/>
      <c r="GJ28" s="543"/>
      <c r="GK28" s="543"/>
      <c r="GL28" s="543"/>
      <c r="GM28" s="543"/>
      <c r="GN28" s="543"/>
      <c r="GO28" s="543"/>
      <c r="GP28" s="543"/>
      <c r="GQ28" s="543"/>
      <c r="GR28" s="543"/>
      <c r="GS28" s="543"/>
      <c r="GT28" s="543"/>
      <c r="GU28" s="543"/>
      <c r="GV28" s="543"/>
      <c r="GW28" s="543"/>
      <c r="GX28" s="543"/>
      <c r="GY28" s="543"/>
      <c r="GZ28" s="543"/>
      <c r="HA28" s="543"/>
      <c r="HB28" s="543"/>
      <c r="HC28" s="543"/>
      <c r="HD28" s="543"/>
      <c r="HE28" s="543"/>
      <c r="HF28" s="543"/>
      <c r="HG28" s="543"/>
      <c r="HH28" s="543"/>
      <c r="HI28" s="543"/>
      <c r="HJ28" s="543"/>
      <c r="HK28" s="543"/>
      <c r="HL28" s="543"/>
      <c r="HM28" s="543"/>
      <c r="HN28" s="543"/>
      <c r="HO28" s="543"/>
      <c r="HP28" s="543"/>
      <c r="HQ28" s="543"/>
      <c r="HR28" s="543"/>
      <c r="HS28" s="543"/>
      <c r="HT28" s="543"/>
      <c r="HU28" s="543"/>
      <c r="HV28" s="543"/>
      <c r="HW28" s="543"/>
      <c r="HX28" s="543"/>
      <c r="HY28" s="543"/>
      <c r="HZ28" s="543"/>
      <c r="IA28" s="543"/>
      <c r="IB28" s="543"/>
      <c r="IC28" s="543"/>
      <c r="ID28" s="543"/>
      <c r="IE28" s="543"/>
      <c r="IF28" s="543"/>
      <c r="IG28" s="543"/>
      <c r="IH28" s="543"/>
      <c r="II28" s="543"/>
      <c r="IJ28" s="543"/>
      <c r="IK28" s="543"/>
      <c r="IL28" s="543"/>
      <c r="IM28" s="543"/>
      <c r="IN28" s="543"/>
      <c r="IO28" s="543"/>
      <c r="IP28" s="543"/>
      <c r="IQ28" s="543"/>
      <c r="IR28" s="543"/>
      <c r="IS28" s="543"/>
      <c r="IT28" s="543"/>
      <c r="IU28" s="543"/>
    </row>
    <row r="29" spans="1:255" ht="15" hidden="1">
      <c r="A29" s="553">
        <v>3</v>
      </c>
      <c r="B29" s="292"/>
      <c r="C29" s="293" t="s">
        <v>63</v>
      </c>
      <c r="D29" s="294"/>
      <c r="E29" s="279"/>
      <c r="F29" s="270">
        <f t="shared" si="0"/>
        <v>0</v>
      </c>
      <c r="G29" s="544"/>
      <c r="H29" s="544"/>
      <c r="M29" s="544"/>
      <c r="N29" s="544"/>
      <c r="O29" s="544"/>
      <c r="P29" s="543"/>
      <c r="Q29" s="543"/>
      <c r="R29" s="543"/>
      <c r="S29" s="543"/>
      <c r="T29" s="543"/>
      <c r="U29" s="543"/>
      <c r="V29" s="543"/>
      <c r="W29" s="543"/>
      <c r="X29" s="543"/>
      <c r="Y29" s="543"/>
      <c r="Z29" s="543"/>
      <c r="AA29" s="543"/>
      <c r="AB29" s="543"/>
      <c r="AC29" s="543"/>
      <c r="AD29" s="543"/>
      <c r="AE29" s="543"/>
      <c r="AF29" s="543"/>
      <c r="AG29" s="543"/>
      <c r="AH29" s="543"/>
      <c r="AI29" s="543"/>
      <c r="AJ29" s="543"/>
      <c r="AK29" s="543"/>
      <c r="AL29" s="543"/>
      <c r="AM29" s="543"/>
      <c r="AN29" s="543"/>
      <c r="AO29" s="543"/>
      <c r="AP29" s="543"/>
      <c r="AQ29" s="543"/>
      <c r="AR29" s="543"/>
      <c r="AS29" s="543"/>
      <c r="AT29" s="543"/>
      <c r="AU29" s="543"/>
      <c r="AV29" s="543"/>
      <c r="AW29" s="543"/>
      <c r="AX29" s="543"/>
      <c r="AY29" s="543"/>
      <c r="AZ29" s="543"/>
      <c r="BA29" s="543"/>
      <c r="BB29" s="543"/>
      <c r="BC29" s="543"/>
      <c r="BD29" s="543"/>
      <c r="BE29" s="543"/>
      <c r="BF29" s="543"/>
      <c r="BG29" s="543"/>
      <c r="BH29" s="543"/>
      <c r="BI29" s="543"/>
      <c r="BJ29" s="543"/>
      <c r="BK29" s="543"/>
      <c r="BL29" s="543"/>
      <c r="BM29" s="543"/>
      <c r="BN29" s="543"/>
      <c r="BO29" s="543"/>
      <c r="BP29" s="543"/>
      <c r="BQ29" s="543"/>
      <c r="BR29" s="543"/>
      <c r="BS29" s="543"/>
      <c r="BT29" s="543"/>
      <c r="BU29" s="543"/>
      <c r="BV29" s="543"/>
      <c r="BW29" s="543"/>
      <c r="BX29" s="543"/>
      <c r="BY29" s="543"/>
      <c r="BZ29" s="543"/>
      <c r="CA29" s="543"/>
      <c r="CB29" s="543"/>
      <c r="CC29" s="543"/>
      <c r="CD29" s="543"/>
      <c r="CE29" s="543"/>
      <c r="CF29" s="543"/>
      <c r="CG29" s="543"/>
      <c r="CH29" s="543"/>
      <c r="CI29" s="543"/>
      <c r="CJ29" s="543"/>
      <c r="CK29" s="543"/>
      <c r="CL29" s="543"/>
      <c r="CM29" s="543"/>
      <c r="CN29" s="543"/>
      <c r="CO29" s="543"/>
      <c r="CP29" s="543"/>
      <c r="CQ29" s="543"/>
      <c r="CR29" s="543"/>
      <c r="CS29" s="543"/>
      <c r="CT29" s="543"/>
      <c r="CU29" s="543"/>
      <c r="CV29" s="543"/>
      <c r="CW29" s="543"/>
      <c r="CX29" s="543"/>
      <c r="CY29" s="543"/>
      <c r="CZ29" s="543"/>
      <c r="DA29" s="543"/>
      <c r="DB29" s="543"/>
      <c r="DC29" s="543"/>
      <c r="DD29" s="543"/>
      <c r="DE29" s="543"/>
      <c r="DF29" s="543"/>
      <c r="DG29" s="543"/>
      <c r="DH29" s="543"/>
      <c r="DI29" s="543"/>
      <c r="DJ29" s="543"/>
      <c r="DK29" s="543"/>
      <c r="DL29" s="543"/>
      <c r="DM29" s="543"/>
      <c r="DN29" s="543"/>
      <c r="DO29" s="543"/>
      <c r="DP29" s="543"/>
      <c r="DQ29" s="543"/>
      <c r="DR29" s="543"/>
      <c r="DS29" s="543"/>
      <c r="DT29" s="543"/>
      <c r="DU29" s="543"/>
      <c r="DV29" s="543"/>
      <c r="DW29" s="543"/>
      <c r="DX29" s="543"/>
      <c r="DY29" s="543"/>
      <c r="DZ29" s="543"/>
      <c r="EA29" s="543"/>
      <c r="EB29" s="543"/>
      <c r="EC29" s="543"/>
      <c r="ED29" s="543"/>
      <c r="EE29" s="543"/>
      <c r="EF29" s="543"/>
      <c r="EG29" s="543"/>
      <c r="EH29" s="543"/>
      <c r="EI29" s="543"/>
      <c r="EJ29" s="543"/>
      <c r="EK29" s="543"/>
      <c r="EL29" s="543"/>
      <c r="EM29" s="543"/>
      <c r="EN29" s="543"/>
      <c r="EO29" s="543"/>
      <c r="EP29" s="543"/>
      <c r="EQ29" s="543"/>
      <c r="ER29" s="543"/>
      <c r="ES29" s="543"/>
      <c r="ET29" s="543"/>
      <c r="EU29" s="543"/>
      <c r="EV29" s="543"/>
      <c r="EW29" s="543"/>
      <c r="EX29" s="543"/>
      <c r="EY29" s="543"/>
      <c r="EZ29" s="543"/>
      <c r="FA29" s="543"/>
      <c r="FB29" s="543"/>
      <c r="FC29" s="543"/>
      <c r="FD29" s="543"/>
      <c r="FE29" s="543"/>
      <c r="FF29" s="543"/>
      <c r="FG29" s="543"/>
      <c r="FH29" s="543"/>
      <c r="FI29" s="543"/>
      <c r="FJ29" s="543"/>
      <c r="FK29" s="543"/>
      <c r="FL29" s="543"/>
      <c r="FM29" s="543"/>
      <c r="FN29" s="543"/>
      <c r="FO29" s="543"/>
      <c r="FP29" s="543"/>
      <c r="FQ29" s="543"/>
      <c r="FR29" s="543"/>
      <c r="FS29" s="543"/>
      <c r="FT29" s="543"/>
      <c r="FU29" s="543"/>
      <c r="FV29" s="543"/>
      <c r="FW29" s="543"/>
      <c r="FX29" s="543"/>
      <c r="FY29" s="543"/>
      <c r="FZ29" s="543"/>
      <c r="GA29" s="543"/>
      <c r="GB29" s="543"/>
      <c r="GC29" s="543"/>
      <c r="GD29" s="543"/>
      <c r="GE29" s="543"/>
      <c r="GF29" s="543"/>
      <c r="GG29" s="543"/>
      <c r="GH29" s="543"/>
      <c r="GI29" s="543"/>
      <c r="GJ29" s="543"/>
      <c r="GK29" s="543"/>
      <c r="GL29" s="543"/>
      <c r="GM29" s="543"/>
      <c r="GN29" s="543"/>
      <c r="GO29" s="543"/>
      <c r="GP29" s="543"/>
      <c r="GQ29" s="543"/>
      <c r="GR29" s="543"/>
      <c r="GS29" s="543"/>
      <c r="GT29" s="543"/>
      <c r="GU29" s="543"/>
      <c r="GV29" s="543"/>
      <c r="GW29" s="543"/>
      <c r="GX29" s="543"/>
      <c r="GY29" s="543"/>
      <c r="GZ29" s="543"/>
      <c r="HA29" s="543"/>
      <c r="HB29" s="543"/>
      <c r="HC29" s="543"/>
      <c r="HD29" s="543"/>
      <c r="HE29" s="543"/>
      <c r="HF29" s="543"/>
      <c r="HG29" s="543"/>
      <c r="HH29" s="543"/>
      <c r="HI29" s="543"/>
      <c r="HJ29" s="543"/>
      <c r="HK29" s="543"/>
      <c r="HL29" s="543"/>
      <c r="HM29" s="543"/>
      <c r="HN29" s="543"/>
      <c r="HO29" s="543"/>
      <c r="HP29" s="543"/>
      <c r="HQ29" s="543"/>
      <c r="HR29" s="543"/>
      <c r="HS29" s="543"/>
      <c r="HT29" s="543"/>
      <c r="HU29" s="543"/>
      <c r="HV29" s="543"/>
      <c r="HW29" s="543"/>
      <c r="HX29" s="543"/>
      <c r="HY29" s="543"/>
      <c r="HZ29" s="543"/>
      <c r="IA29" s="543"/>
      <c r="IB29" s="543"/>
      <c r="IC29" s="543"/>
      <c r="ID29" s="543"/>
      <c r="IE29" s="543"/>
      <c r="IF29" s="543"/>
      <c r="IG29" s="543"/>
      <c r="IH29" s="543"/>
      <c r="II29" s="543"/>
      <c r="IJ29" s="543"/>
      <c r="IK29" s="543"/>
      <c r="IL29" s="543"/>
      <c r="IM29" s="543"/>
      <c r="IN29" s="543"/>
      <c r="IO29" s="543"/>
      <c r="IP29" s="543"/>
      <c r="IQ29" s="543"/>
      <c r="IR29" s="543"/>
      <c r="IS29" s="543"/>
      <c r="IT29" s="543"/>
      <c r="IU29" s="543"/>
    </row>
    <row r="30" spans="1:255" ht="15" hidden="1">
      <c r="A30" s="553">
        <v>4</v>
      </c>
      <c r="B30" s="292"/>
      <c r="C30" s="293" t="s">
        <v>63</v>
      </c>
      <c r="D30" s="294"/>
      <c r="E30" s="279"/>
      <c r="F30" s="270">
        <f t="shared" si="0"/>
        <v>0</v>
      </c>
      <c r="G30" s="544"/>
      <c r="H30" s="544"/>
      <c r="M30" s="544"/>
      <c r="N30" s="544"/>
      <c r="O30" s="544"/>
      <c r="P30" s="543"/>
      <c r="Q30" s="543"/>
      <c r="R30" s="543"/>
      <c r="S30" s="543"/>
      <c r="T30" s="543"/>
      <c r="U30" s="543"/>
      <c r="V30" s="543"/>
      <c r="W30" s="543"/>
      <c r="X30" s="543"/>
      <c r="Y30" s="543"/>
      <c r="Z30" s="543"/>
      <c r="AA30" s="543"/>
      <c r="AB30" s="543"/>
      <c r="AC30" s="543"/>
      <c r="AD30" s="543"/>
      <c r="AE30" s="543"/>
      <c r="AF30" s="543"/>
      <c r="AG30" s="543"/>
      <c r="AH30" s="543"/>
      <c r="AI30" s="543"/>
      <c r="AJ30" s="543"/>
      <c r="AK30" s="543"/>
      <c r="AL30" s="543"/>
      <c r="AM30" s="543"/>
      <c r="AN30" s="543"/>
      <c r="AO30" s="543"/>
      <c r="AP30" s="543"/>
      <c r="AQ30" s="543"/>
      <c r="AR30" s="543"/>
      <c r="AS30" s="543"/>
      <c r="AT30" s="543"/>
      <c r="AU30" s="543"/>
      <c r="AV30" s="543"/>
      <c r="AW30" s="543"/>
      <c r="AX30" s="543"/>
      <c r="AY30" s="543"/>
      <c r="AZ30" s="543"/>
      <c r="BA30" s="543"/>
      <c r="BB30" s="543"/>
      <c r="BC30" s="543"/>
      <c r="BD30" s="543"/>
      <c r="BE30" s="543"/>
      <c r="BF30" s="543"/>
      <c r="BG30" s="543"/>
      <c r="BH30" s="543"/>
      <c r="BI30" s="543"/>
      <c r="BJ30" s="543"/>
      <c r="BK30" s="543"/>
      <c r="BL30" s="543"/>
      <c r="BM30" s="543"/>
      <c r="BN30" s="543"/>
      <c r="BO30" s="543"/>
      <c r="BP30" s="543"/>
      <c r="BQ30" s="543"/>
      <c r="BR30" s="543"/>
      <c r="BS30" s="543"/>
      <c r="BT30" s="543"/>
      <c r="BU30" s="543"/>
      <c r="BV30" s="543"/>
      <c r="BW30" s="543"/>
      <c r="BX30" s="543"/>
      <c r="BY30" s="543"/>
      <c r="BZ30" s="543"/>
      <c r="CA30" s="543"/>
      <c r="CB30" s="543"/>
      <c r="CC30" s="543"/>
      <c r="CD30" s="543"/>
      <c r="CE30" s="543"/>
      <c r="CF30" s="543"/>
      <c r="CG30" s="543"/>
      <c r="CH30" s="543"/>
      <c r="CI30" s="543"/>
      <c r="CJ30" s="543"/>
      <c r="CK30" s="543"/>
      <c r="CL30" s="543"/>
      <c r="CM30" s="543"/>
      <c r="CN30" s="543"/>
      <c r="CO30" s="543"/>
      <c r="CP30" s="543"/>
      <c r="CQ30" s="543"/>
      <c r="CR30" s="543"/>
      <c r="CS30" s="543"/>
      <c r="CT30" s="543"/>
      <c r="CU30" s="543"/>
      <c r="CV30" s="543"/>
      <c r="CW30" s="543"/>
      <c r="CX30" s="543"/>
      <c r="CY30" s="543"/>
      <c r="CZ30" s="543"/>
      <c r="DA30" s="543"/>
      <c r="DB30" s="543"/>
      <c r="DC30" s="543"/>
      <c r="DD30" s="543"/>
      <c r="DE30" s="543"/>
      <c r="DF30" s="543"/>
      <c r="DG30" s="543"/>
      <c r="DH30" s="543"/>
      <c r="DI30" s="543"/>
      <c r="DJ30" s="543"/>
      <c r="DK30" s="543"/>
      <c r="DL30" s="543"/>
      <c r="DM30" s="543"/>
      <c r="DN30" s="543"/>
      <c r="DO30" s="543"/>
      <c r="DP30" s="543"/>
      <c r="DQ30" s="543"/>
      <c r="DR30" s="543"/>
      <c r="DS30" s="543"/>
      <c r="DT30" s="543"/>
      <c r="DU30" s="543"/>
      <c r="DV30" s="543"/>
      <c r="DW30" s="543"/>
      <c r="DX30" s="543"/>
      <c r="DY30" s="543"/>
      <c r="DZ30" s="543"/>
      <c r="EA30" s="543"/>
      <c r="EB30" s="543"/>
      <c r="EC30" s="543"/>
      <c r="ED30" s="543"/>
      <c r="EE30" s="543"/>
      <c r="EF30" s="543"/>
      <c r="EG30" s="543"/>
      <c r="EH30" s="543"/>
      <c r="EI30" s="543"/>
      <c r="EJ30" s="543"/>
      <c r="EK30" s="543"/>
      <c r="EL30" s="543"/>
      <c r="EM30" s="543"/>
      <c r="EN30" s="543"/>
      <c r="EO30" s="543"/>
      <c r="EP30" s="543"/>
      <c r="EQ30" s="543"/>
      <c r="ER30" s="543"/>
      <c r="ES30" s="543"/>
      <c r="ET30" s="543"/>
      <c r="EU30" s="543"/>
      <c r="EV30" s="543"/>
      <c r="EW30" s="543"/>
      <c r="EX30" s="543"/>
      <c r="EY30" s="543"/>
      <c r="EZ30" s="543"/>
      <c r="FA30" s="543"/>
      <c r="FB30" s="543"/>
      <c r="FC30" s="543"/>
      <c r="FD30" s="543"/>
      <c r="FE30" s="543"/>
      <c r="FF30" s="543"/>
      <c r="FG30" s="543"/>
      <c r="FH30" s="543"/>
      <c r="FI30" s="543"/>
      <c r="FJ30" s="543"/>
      <c r="FK30" s="543"/>
      <c r="FL30" s="543"/>
      <c r="FM30" s="543"/>
      <c r="FN30" s="543"/>
      <c r="FO30" s="543"/>
      <c r="FP30" s="543"/>
      <c r="FQ30" s="543"/>
      <c r="FR30" s="543"/>
      <c r="FS30" s="543"/>
      <c r="FT30" s="543"/>
      <c r="FU30" s="543"/>
      <c r="FV30" s="543"/>
      <c r="FW30" s="543"/>
      <c r="FX30" s="543"/>
      <c r="FY30" s="543"/>
      <c r="FZ30" s="543"/>
      <c r="GA30" s="543"/>
      <c r="GB30" s="543"/>
      <c r="GC30" s="543"/>
      <c r="GD30" s="543"/>
      <c r="GE30" s="543"/>
      <c r="GF30" s="543"/>
      <c r="GG30" s="543"/>
      <c r="GH30" s="543"/>
      <c r="GI30" s="543"/>
      <c r="GJ30" s="543"/>
      <c r="GK30" s="543"/>
      <c r="GL30" s="543"/>
      <c r="GM30" s="543"/>
      <c r="GN30" s="543"/>
      <c r="GO30" s="543"/>
      <c r="GP30" s="543"/>
      <c r="GQ30" s="543"/>
      <c r="GR30" s="543"/>
      <c r="GS30" s="543"/>
      <c r="GT30" s="543"/>
      <c r="GU30" s="543"/>
      <c r="GV30" s="543"/>
      <c r="GW30" s="543"/>
      <c r="GX30" s="543"/>
      <c r="GY30" s="543"/>
      <c r="GZ30" s="543"/>
      <c r="HA30" s="543"/>
      <c r="HB30" s="543"/>
      <c r="HC30" s="543"/>
      <c r="HD30" s="543"/>
      <c r="HE30" s="543"/>
      <c r="HF30" s="543"/>
      <c r="HG30" s="543"/>
      <c r="HH30" s="543"/>
      <c r="HI30" s="543"/>
      <c r="HJ30" s="543"/>
      <c r="HK30" s="543"/>
      <c r="HL30" s="543"/>
      <c r="HM30" s="543"/>
      <c r="HN30" s="543"/>
      <c r="HO30" s="543"/>
      <c r="HP30" s="543"/>
      <c r="HQ30" s="543"/>
      <c r="HR30" s="543"/>
      <c r="HS30" s="543"/>
      <c r="HT30" s="543"/>
      <c r="HU30" s="543"/>
      <c r="HV30" s="543"/>
      <c r="HW30" s="543"/>
      <c r="HX30" s="543"/>
      <c r="HY30" s="543"/>
      <c r="HZ30" s="543"/>
      <c r="IA30" s="543"/>
      <c r="IB30" s="543"/>
      <c r="IC30" s="543"/>
      <c r="ID30" s="543"/>
      <c r="IE30" s="543"/>
      <c r="IF30" s="543"/>
      <c r="IG30" s="543"/>
      <c r="IH30" s="543"/>
      <c r="II30" s="543"/>
      <c r="IJ30" s="543"/>
      <c r="IK30" s="543"/>
      <c r="IL30" s="543"/>
      <c r="IM30" s="543"/>
      <c r="IN30" s="543"/>
      <c r="IO30" s="543"/>
      <c r="IP30" s="543"/>
      <c r="IQ30" s="543"/>
      <c r="IR30" s="543"/>
      <c r="IS30" s="543"/>
      <c r="IT30" s="543"/>
      <c r="IU30" s="543"/>
    </row>
    <row r="31" spans="1:255" ht="15" hidden="1">
      <c r="A31" s="553">
        <v>5</v>
      </c>
      <c r="B31" s="292"/>
      <c r="C31" s="293" t="s">
        <v>300</v>
      </c>
      <c r="D31" s="294"/>
      <c r="E31" s="279"/>
      <c r="F31" s="270">
        <f t="shared" si="0"/>
        <v>0</v>
      </c>
      <c r="G31" s="544"/>
      <c r="H31" s="544"/>
      <c r="M31" s="544"/>
      <c r="N31" s="544"/>
      <c r="O31" s="544"/>
      <c r="P31" s="543"/>
      <c r="Q31" s="543"/>
      <c r="R31" s="543"/>
      <c r="S31" s="543"/>
      <c r="T31" s="543"/>
      <c r="U31" s="543"/>
      <c r="V31" s="543"/>
      <c r="W31" s="543"/>
      <c r="X31" s="543"/>
      <c r="Y31" s="543"/>
      <c r="Z31" s="543"/>
      <c r="AA31" s="543"/>
      <c r="AB31" s="543"/>
      <c r="AC31" s="543"/>
      <c r="AD31" s="543"/>
      <c r="AE31" s="543"/>
      <c r="AF31" s="543"/>
      <c r="AG31" s="543"/>
      <c r="AH31" s="543"/>
      <c r="AI31" s="543"/>
      <c r="AJ31" s="543"/>
      <c r="AK31" s="543"/>
      <c r="AL31" s="543"/>
      <c r="AM31" s="543"/>
      <c r="AN31" s="543"/>
      <c r="AO31" s="543"/>
      <c r="AP31" s="543"/>
      <c r="AQ31" s="543"/>
      <c r="AR31" s="543"/>
      <c r="AS31" s="543"/>
      <c r="AT31" s="543"/>
      <c r="AU31" s="543"/>
      <c r="AV31" s="543"/>
      <c r="AW31" s="543"/>
      <c r="AX31" s="543"/>
      <c r="AY31" s="543"/>
      <c r="AZ31" s="543"/>
      <c r="BA31" s="543"/>
      <c r="BB31" s="543"/>
      <c r="BC31" s="543"/>
      <c r="BD31" s="543"/>
      <c r="BE31" s="543"/>
      <c r="BF31" s="543"/>
      <c r="BG31" s="543"/>
      <c r="BH31" s="543"/>
      <c r="BI31" s="543"/>
      <c r="BJ31" s="543"/>
      <c r="BK31" s="543"/>
      <c r="BL31" s="543"/>
      <c r="BM31" s="543"/>
      <c r="BN31" s="543"/>
      <c r="BO31" s="543"/>
      <c r="BP31" s="543"/>
      <c r="BQ31" s="543"/>
      <c r="BR31" s="543"/>
      <c r="BS31" s="543"/>
      <c r="BT31" s="543"/>
      <c r="BU31" s="543"/>
      <c r="BV31" s="543"/>
      <c r="BW31" s="543"/>
      <c r="BX31" s="543"/>
      <c r="BY31" s="543"/>
      <c r="BZ31" s="543"/>
      <c r="CA31" s="543"/>
      <c r="CB31" s="543"/>
      <c r="CC31" s="543"/>
      <c r="CD31" s="543"/>
      <c r="CE31" s="543"/>
      <c r="CF31" s="543"/>
      <c r="CG31" s="543"/>
      <c r="CH31" s="543"/>
      <c r="CI31" s="543"/>
      <c r="CJ31" s="543"/>
      <c r="CK31" s="543"/>
      <c r="CL31" s="543"/>
      <c r="CM31" s="543"/>
      <c r="CN31" s="543"/>
      <c r="CO31" s="543"/>
      <c r="CP31" s="543"/>
      <c r="CQ31" s="543"/>
      <c r="CR31" s="543"/>
      <c r="CS31" s="543"/>
      <c r="CT31" s="543"/>
      <c r="CU31" s="543"/>
      <c r="CV31" s="543"/>
      <c r="CW31" s="543"/>
      <c r="CX31" s="543"/>
      <c r="CY31" s="543"/>
      <c r="CZ31" s="543"/>
      <c r="DA31" s="543"/>
      <c r="DB31" s="543"/>
      <c r="DC31" s="543"/>
      <c r="DD31" s="543"/>
      <c r="DE31" s="543"/>
      <c r="DF31" s="543"/>
      <c r="DG31" s="543"/>
      <c r="DH31" s="543"/>
      <c r="DI31" s="543"/>
      <c r="DJ31" s="543"/>
      <c r="DK31" s="543"/>
      <c r="DL31" s="543"/>
      <c r="DM31" s="543"/>
      <c r="DN31" s="543"/>
      <c r="DO31" s="543"/>
      <c r="DP31" s="543"/>
      <c r="DQ31" s="543"/>
      <c r="DR31" s="543"/>
      <c r="DS31" s="543"/>
      <c r="DT31" s="543"/>
      <c r="DU31" s="543"/>
      <c r="DV31" s="543"/>
      <c r="DW31" s="543"/>
      <c r="DX31" s="543"/>
      <c r="DY31" s="543"/>
      <c r="DZ31" s="543"/>
      <c r="EA31" s="543"/>
      <c r="EB31" s="543"/>
      <c r="EC31" s="543"/>
      <c r="ED31" s="543"/>
      <c r="EE31" s="543"/>
      <c r="EF31" s="543"/>
      <c r="EG31" s="543"/>
      <c r="EH31" s="543"/>
      <c r="EI31" s="543"/>
      <c r="EJ31" s="543"/>
      <c r="EK31" s="543"/>
      <c r="EL31" s="543"/>
      <c r="EM31" s="543"/>
      <c r="EN31" s="543"/>
      <c r="EO31" s="543"/>
      <c r="EP31" s="543"/>
      <c r="EQ31" s="543"/>
      <c r="ER31" s="543"/>
      <c r="ES31" s="543"/>
      <c r="ET31" s="543"/>
      <c r="EU31" s="543"/>
      <c r="EV31" s="543"/>
      <c r="EW31" s="543"/>
      <c r="EX31" s="543"/>
      <c r="EY31" s="543"/>
      <c r="EZ31" s="543"/>
      <c r="FA31" s="543"/>
      <c r="FB31" s="543"/>
      <c r="FC31" s="543"/>
      <c r="FD31" s="543"/>
      <c r="FE31" s="543"/>
      <c r="FF31" s="543"/>
      <c r="FG31" s="543"/>
      <c r="FH31" s="543"/>
      <c r="FI31" s="543"/>
      <c r="FJ31" s="543"/>
      <c r="FK31" s="543"/>
      <c r="FL31" s="543"/>
      <c r="FM31" s="543"/>
      <c r="FN31" s="543"/>
      <c r="FO31" s="543"/>
      <c r="FP31" s="543"/>
      <c r="FQ31" s="543"/>
      <c r="FR31" s="543"/>
      <c r="FS31" s="543"/>
      <c r="FT31" s="543"/>
      <c r="FU31" s="543"/>
      <c r="FV31" s="543"/>
      <c r="FW31" s="543"/>
      <c r="FX31" s="543"/>
      <c r="FY31" s="543"/>
      <c r="FZ31" s="543"/>
      <c r="GA31" s="543"/>
      <c r="GB31" s="543"/>
      <c r="GC31" s="543"/>
      <c r="GD31" s="543"/>
      <c r="GE31" s="543"/>
      <c r="GF31" s="543"/>
      <c r="GG31" s="543"/>
      <c r="GH31" s="543"/>
      <c r="GI31" s="543"/>
      <c r="GJ31" s="543"/>
      <c r="GK31" s="543"/>
      <c r="GL31" s="543"/>
      <c r="GM31" s="543"/>
      <c r="GN31" s="543"/>
      <c r="GO31" s="543"/>
      <c r="GP31" s="543"/>
      <c r="GQ31" s="543"/>
      <c r="GR31" s="543"/>
      <c r="GS31" s="543"/>
      <c r="GT31" s="543"/>
      <c r="GU31" s="543"/>
      <c r="GV31" s="543"/>
      <c r="GW31" s="543"/>
      <c r="GX31" s="543"/>
      <c r="GY31" s="543"/>
      <c r="GZ31" s="543"/>
      <c r="HA31" s="543"/>
      <c r="HB31" s="543"/>
      <c r="HC31" s="543"/>
      <c r="HD31" s="543"/>
      <c r="HE31" s="543"/>
      <c r="HF31" s="543"/>
      <c r="HG31" s="543"/>
      <c r="HH31" s="543"/>
      <c r="HI31" s="543"/>
      <c r="HJ31" s="543"/>
      <c r="HK31" s="543"/>
      <c r="HL31" s="543"/>
      <c r="HM31" s="543"/>
      <c r="HN31" s="543"/>
      <c r="HO31" s="543"/>
      <c r="HP31" s="543"/>
      <c r="HQ31" s="543"/>
      <c r="HR31" s="543"/>
      <c r="HS31" s="543"/>
      <c r="HT31" s="543"/>
      <c r="HU31" s="543"/>
      <c r="HV31" s="543"/>
      <c r="HW31" s="543"/>
      <c r="HX31" s="543"/>
      <c r="HY31" s="543"/>
      <c r="HZ31" s="543"/>
      <c r="IA31" s="543"/>
      <c r="IB31" s="543"/>
      <c r="IC31" s="543"/>
      <c r="ID31" s="543"/>
      <c r="IE31" s="543"/>
      <c r="IF31" s="543"/>
      <c r="IG31" s="543"/>
      <c r="IH31" s="543"/>
      <c r="II31" s="543"/>
      <c r="IJ31" s="543"/>
      <c r="IK31" s="543"/>
      <c r="IL31" s="543"/>
      <c r="IM31" s="543"/>
      <c r="IN31" s="543"/>
      <c r="IO31" s="543"/>
      <c r="IP31" s="543"/>
      <c r="IQ31" s="543"/>
      <c r="IR31" s="543"/>
      <c r="IS31" s="543"/>
      <c r="IT31" s="543"/>
      <c r="IU31" s="543"/>
    </row>
    <row r="32" spans="1:255" ht="15" hidden="1">
      <c r="A32" s="553">
        <v>6</v>
      </c>
      <c r="B32" s="292"/>
      <c r="C32" s="293" t="s">
        <v>219</v>
      </c>
      <c r="D32" s="294"/>
      <c r="E32" s="279"/>
      <c r="F32" s="270">
        <f t="shared" si="0"/>
        <v>0</v>
      </c>
      <c r="G32" s="544"/>
      <c r="H32" s="544"/>
      <c r="M32" s="544"/>
      <c r="N32" s="544"/>
      <c r="O32" s="544"/>
      <c r="P32" s="543"/>
      <c r="Q32" s="543"/>
      <c r="R32" s="543"/>
      <c r="S32" s="543"/>
      <c r="T32" s="543"/>
      <c r="U32" s="543"/>
      <c r="V32" s="543"/>
      <c r="W32" s="543"/>
      <c r="X32" s="543"/>
      <c r="Y32" s="543"/>
      <c r="Z32" s="543"/>
      <c r="AA32" s="543"/>
      <c r="AB32" s="543"/>
      <c r="AC32" s="543"/>
      <c r="AD32" s="543"/>
      <c r="AE32" s="543"/>
      <c r="AF32" s="543"/>
      <c r="AG32" s="543"/>
      <c r="AH32" s="543"/>
      <c r="AI32" s="543"/>
      <c r="AJ32" s="543"/>
      <c r="AK32" s="543"/>
      <c r="AL32" s="543"/>
      <c r="AM32" s="543"/>
      <c r="AN32" s="543"/>
      <c r="AO32" s="543"/>
      <c r="AP32" s="543"/>
      <c r="AQ32" s="543"/>
      <c r="AR32" s="543"/>
      <c r="AS32" s="543"/>
      <c r="AT32" s="543"/>
      <c r="AU32" s="543"/>
      <c r="AV32" s="543"/>
      <c r="AW32" s="543"/>
      <c r="AX32" s="543"/>
      <c r="AY32" s="543"/>
      <c r="AZ32" s="543"/>
      <c r="BA32" s="543"/>
      <c r="BB32" s="543"/>
      <c r="BC32" s="543"/>
      <c r="BD32" s="543"/>
      <c r="BE32" s="543"/>
      <c r="BF32" s="543"/>
      <c r="BG32" s="543"/>
      <c r="BH32" s="543"/>
      <c r="BI32" s="543"/>
      <c r="BJ32" s="543"/>
      <c r="BK32" s="543"/>
      <c r="BL32" s="543"/>
      <c r="BM32" s="543"/>
      <c r="BN32" s="543"/>
      <c r="BO32" s="543"/>
      <c r="BP32" s="543"/>
      <c r="BQ32" s="543"/>
      <c r="BR32" s="543"/>
      <c r="BS32" s="543"/>
      <c r="BT32" s="543"/>
      <c r="BU32" s="543"/>
      <c r="BV32" s="543"/>
      <c r="BW32" s="543"/>
      <c r="BX32" s="543"/>
      <c r="BY32" s="543"/>
      <c r="BZ32" s="543"/>
      <c r="CA32" s="543"/>
      <c r="CB32" s="543"/>
      <c r="CC32" s="543"/>
      <c r="CD32" s="543"/>
      <c r="CE32" s="543"/>
      <c r="CF32" s="543"/>
      <c r="CG32" s="543"/>
      <c r="CH32" s="543"/>
      <c r="CI32" s="543"/>
      <c r="CJ32" s="543"/>
      <c r="CK32" s="543"/>
      <c r="CL32" s="543"/>
      <c r="CM32" s="543"/>
      <c r="CN32" s="543"/>
      <c r="CO32" s="543"/>
      <c r="CP32" s="543"/>
      <c r="CQ32" s="543"/>
      <c r="CR32" s="543"/>
      <c r="CS32" s="543"/>
      <c r="CT32" s="543"/>
      <c r="CU32" s="543"/>
      <c r="CV32" s="543"/>
      <c r="CW32" s="543"/>
      <c r="CX32" s="543"/>
      <c r="CY32" s="543"/>
      <c r="CZ32" s="543"/>
      <c r="DA32" s="543"/>
      <c r="DB32" s="543"/>
      <c r="DC32" s="543"/>
      <c r="DD32" s="543"/>
      <c r="DE32" s="543"/>
      <c r="DF32" s="543"/>
      <c r="DG32" s="543"/>
      <c r="DH32" s="543"/>
      <c r="DI32" s="543"/>
      <c r="DJ32" s="543"/>
      <c r="DK32" s="543"/>
      <c r="DL32" s="543"/>
      <c r="DM32" s="543"/>
      <c r="DN32" s="543"/>
      <c r="DO32" s="543"/>
      <c r="DP32" s="543"/>
      <c r="DQ32" s="543"/>
      <c r="DR32" s="543"/>
      <c r="DS32" s="543"/>
      <c r="DT32" s="543"/>
      <c r="DU32" s="543"/>
      <c r="DV32" s="543"/>
      <c r="DW32" s="543"/>
      <c r="DX32" s="543"/>
      <c r="DY32" s="543"/>
      <c r="DZ32" s="543"/>
      <c r="EA32" s="543"/>
      <c r="EB32" s="543"/>
      <c r="EC32" s="543"/>
      <c r="ED32" s="543"/>
      <c r="EE32" s="543"/>
      <c r="EF32" s="543"/>
      <c r="EG32" s="543"/>
      <c r="EH32" s="543"/>
      <c r="EI32" s="543"/>
      <c r="EJ32" s="543"/>
      <c r="EK32" s="543"/>
      <c r="EL32" s="543"/>
      <c r="EM32" s="543"/>
      <c r="EN32" s="543"/>
      <c r="EO32" s="543"/>
      <c r="EP32" s="543"/>
      <c r="EQ32" s="543"/>
      <c r="ER32" s="543"/>
      <c r="ES32" s="543"/>
      <c r="ET32" s="543"/>
      <c r="EU32" s="543"/>
      <c r="EV32" s="543"/>
      <c r="EW32" s="543"/>
      <c r="EX32" s="543"/>
      <c r="EY32" s="543"/>
      <c r="EZ32" s="543"/>
      <c r="FA32" s="543"/>
      <c r="FB32" s="543"/>
      <c r="FC32" s="543"/>
      <c r="FD32" s="543"/>
      <c r="FE32" s="543"/>
      <c r="FF32" s="543"/>
      <c r="FG32" s="543"/>
      <c r="FH32" s="543"/>
      <c r="FI32" s="543"/>
      <c r="FJ32" s="543"/>
      <c r="FK32" s="543"/>
      <c r="FL32" s="543"/>
      <c r="FM32" s="543"/>
      <c r="FN32" s="543"/>
      <c r="FO32" s="543"/>
      <c r="FP32" s="543"/>
      <c r="FQ32" s="543"/>
      <c r="FR32" s="543"/>
      <c r="FS32" s="543"/>
      <c r="FT32" s="543"/>
      <c r="FU32" s="543"/>
      <c r="FV32" s="543"/>
      <c r="FW32" s="543"/>
      <c r="FX32" s="543"/>
      <c r="FY32" s="543"/>
      <c r="FZ32" s="543"/>
      <c r="GA32" s="543"/>
      <c r="GB32" s="543"/>
      <c r="GC32" s="543"/>
      <c r="GD32" s="543"/>
      <c r="GE32" s="543"/>
      <c r="GF32" s="543"/>
      <c r="GG32" s="543"/>
      <c r="GH32" s="543"/>
      <c r="GI32" s="543"/>
      <c r="GJ32" s="543"/>
      <c r="GK32" s="543"/>
      <c r="GL32" s="543"/>
      <c r="GM32" s="543"/>
      <c r="GN32" s="543"/>
      <c r="GO32" s="543"/>
      <c r="GP32" s="543"/>
      <c r="GQ32" s="543"/>
      <c r="GR32" s="543"/>
      <c r="GS32" s="543"/>
      <c r="GT32" s="543"/>
      <c r="GU32" s="543"/>
      <c r="GV32" s="543"/>
      <c r="GW32" s="543"/>
      <c r="GX32" s="543"/>
      <c r="GY32" s="543"/>
      <c r="GZ32" s="543"/>
      <c r="HA32" s="543"/>
      <c r="HB32" s="543"/>
      <c r="HC32" s="543"/>
      <c r="HD32" s="543"/>
      <c r="HE32" s="543"/>
      <c r="HF32" s="543"/>
      <c r="HG32" s="543"/>
      <c r="HH32" s="543"/>
      <c r="HI32" s="543"/>
      <c r="HJ32" s="543"/>
      <c r="HK32" s="543"/>
      <c r="HL32" s="543"/>
      <c r="HM32" s="543"/>
      <c r="HN32" s="543"/>
      <c r="HO32" s="543"/>
      <c r="HP32" s="543"/>
      <c r="HQ32" s="543"/>
      <c r="HR32" s="543"/>
      <c r="HS32" s="543"/>
      <c r="HT32" s="543"/>
      <c r="HU32" s="543"/>
      <c r="HV32" s="543"/>
      <c r="HW32" s="543"/>
      <c r="HX32" s="543"/>
      <c r="HY32" s="543"/>
      <c r="HZ32" s="543"/>
      <c r="IA32" s="543"/>
      <c r="IB32" s="543"/>
      <c r="IC32" s="543"/>
      <c r="ID32" s="543"/>
      <c r="IE32" s="543"/>
      <c r="IF32" s="543"/>
      <c r="IG32" s="543"/>
      <c r="IH32" s="543"/>
      <c r="II32" s="543"/>
      <c r="IJ32" s="543"/>
      <c r="IK32" s="543"/>
      <c r="IL32" s="543"/>
      <c r="IM32" s="543"/>
      <c r="IN32" s="543"/>
      <c r="IO32" s="543"/>
      <c r="IP32" s="543"/>
      <c r="IQ32" s="543"/>
      <c r="IR32" s="543"/>
      <c r="IS32" s="543"/>
      <c r="IT32" s="543"/>
      <c r="IU32" s="543"/>
    </row>
    <row r="33" spans="1:255" ht="15" hidden="1">
      <c r="A33" s="553">
        <v>7</v>
      </c>
      <c r="B33" s="292"/>
      <c r="C33" s="293" t="s">
        <v>219</v>
      </c>
      <c r="D33" s="294"/>
      <c r="E33" s="279"/>
      <c r="F33" s="270">
        <f t="shared" si="0"/>
        <v>0</v>
      </c>
      <c r="G33" s="544"/>
      <c r="H33" s="544"/>
      <c r="M33" s="544"/>
      <c r="N33" s="544"/>
      <c r="O33" s="544"/>
      <c r="P33" s="543"/>
      <c r="Q33" s="543"/>
      <c r="R33" s="543"/>
      <c r="S33" s="543"/>
      <c r="T33" s="543"/>
      <c r="U33" s="543"/>
      <c r="V33" s="543"/>
      <c r="W33" s="543"/>
      <c r="X33" s="543"/>
      <c r="Y33" s="543"/>
      <c r="Z33" s="543"/>
      <c r="AA33" s="543"/>
      <c r="AB33" s="543"/>
      <c r="AC33" s="543"/>
      <c r="AD33" s="543"/>
      <c r="AE33" s="543"/>
      <c r="AF33" s="543"/>
      <c r="AG33" s="543"/>
      <c r="AH33" s="543"/>
      <c r="AI33" s="543"/>
      <c r="AJ33" s="543"/>
      <c r="AK33" s="543"/>
      <c r="AL33" s="543"/>
      <c r="AM33" s="543"/>
      <c r="AN33" s="543"/>
      <c r="AO33" s="543"/>
      <c r="AP33" s="543"/>
      <c r="AQ33" s="543"/>
      <c r="AR33" s="543"/>
      <c r="AS33" s="543"/>
      <c r="AT33" s="543"/>
      <c r="AU33" s="543"/>
      <c r="AV33" s="543"/>
      <c r="AW33" s="543"/>
      <c r="AX33" s="543"/>
      <c r="AY33" s="543"/>
      <c r="AZ33" s="543"/>
      <c r="BA33" s="543"/>
      <c r="BB33" s="543"/>
      <c r="BC33" s="543"/>
      <c r="BD33" s="543"/>
      <c r="BE33" s="543"/>
      <c r="BF33" s="543"/>
      <c r="BG33" s="543"/>
      <c r="BH33" s="543"/>
      <c r="BI33" s="543"/>
      <c r="BJ33" s="543"/>
      <c r="BK33" s="543"/>
      <c r="BL33" s="543"/>
      <c r="BM33" s="543"/>
      <c r="BN33" s="543"/>
      <c r="BO33" s="543"/>
      <c r="BP33" s="543"/>
      <c r="BQ33" s="543"/>
      <c r="BR33" s="543"/>
      <c r="BS33" s="543"/>
      <c r="BT33" s="543"/>
      <c r="BU33" s="543"/>
      <c r="BV33" s="543"/>
      <c r="BW33" s="543"/>
      <c r="BX33" s="543"/>
      <c r="BY33" s="543"/>
      <c r="BZ33" s="543"/>
      <c r="CA33" s="543"/>
      <c r="CB33" s="543"/>
      <c r="CC33" s="543"/>
      <c r="CD33" s="543"/>
      <c r="CE33" s="543"/>
      <c r="CF33" s="543"/>
      <c r="CG33" s="543"/>
      <c r="CH33" s="543"/>
      <c r="CI33" s="543"/>
      <c r="CJ33" s="543"/>
      <c r="CK33" s="543"/>
      <c r="CL33" s="543"/>
      <c r="CM33" s="543"/>
      <c r="CN33" s="543"/>
      <c r="CO33" s="543"/>
      <c r="CP33" s="543"/>
      <c r="CQ33" s="543"/>
      <c r="CR33" s="543"/>
      <c r="CS33" s="543"/>
      <c r="CT33" s="543"/>
      <c r="CU33" s="543"/>
      <c r="CV33" s="543"/>
      <c r="CW33" s="543"/>
      <c r="CX33" s="543"/>
      <c r="CY33" s="543"/>
      <c r="CZ33" s="543"/>
      <c r="DA33" s="543"/>
      <c r="DB33" s="543"/>
      <c r="DC33" s="543"/>
      <c r="DD33" s="543"/>
      <c r="DE33" s="543"/>
      <c r="DF33" s="543"/>
      <c r="DG33" s="543"/>
      <c r="DH33" s="543"/>
      <c r="DI33" s="543"/>
      <c r="DJ33" s="543"/>
      <c r="DK33" s="543"/>
      <c r="DL33" s="543"/>
      <c r="DM33" s="543"/>
      <c r="DN33" s="543"/>
      <c r="DO33" s="543"/>
      <c r="DP33" s="543"/>
      <c r="DQ33" s="543"/>
      <c r="DR33" s="543"/>
      <c r="DS33" s="543"/>
      <c r="DT33" s="543"/>
      <c r="DU33" s="543"/>
      <c r="DV33" s="543"/>
      <c r="DW33" s="543"/>
      <c r="DX33" s="543"/>
      <c r="DY33" s="543"/>
      <c r="DZ33" s="543"/>
      <c r="EA33" s="543"/>
      <c r="EB33" s="543"/>
      <c r="EC33" s="543"/>
      <c r="ED33" s="543"/>
      <c r="EE33" s="543"/>
      <c r="EF33" s="543"/>
      <c r="EG33" s="543"/>
      <c r="EH33" s="543"/>
      <c r="EI33" s="543"/>
      <c r="EJ33" s="543"/>
      <c r="EK33" s="543"/>
      <c r="EL33" s="543"/>
      <c r="EM33" s="543"/>
      <c r="EN33" s="543"/>
      <c r="EO33" s="543"/>
      <c r="EP33" s="543"/>
      <c r="EQ33" s="543"/>
      <c r="ER33" s="543"/>
      <c r="ES33" s="543"/>
      <c r="ET33" s="543"/>
      <c r="EU33" s="543"/>
      <c r="EV33" s="543"/>
      <c r="EW33" s="543"/>
      <c r="EX33" s="543"/>
      <c r="EY33" s="543"/>
      <c r="EZ33" s="543"/>
      <c r="FA33" s="543"/>
      <c r="FB33" s="543"/>
      <c r="FC33" s="543"/>
      <c r="FD33" s="543"/>
      <c r="FE33" s="543"/>
      <c r="FF33" s="543"/>
      <c r="FG33" s="543"/>
      <c r="FH33" s="543"/>
      <c r="FI33" s="543"/>
      <c r="FJ33" s="543"/>
      <c r="FK33" s="543"/>
      <c r="FL33" s="543"/>
      <c r="FM33" s="543"/>
      <c r="FN33" s="543"/>
      <c r="FO33" s="543"/>
      <c r="FP33" s="543"/>
      <c r="FQ33" s="543"/>
      <c r="FR33" s="543"/>
      <c r="FS33" s="543"/>
      <c r="FT33" s="543"/>
      <c r="FU33" s="543"/>
      <c r="FV33" s="543"/>
      <c r="FW33" s="543"/>
      <c r="FX33" s="543"/>
      <c r="FY33" s="543"/>
      <c r="FZ33" s="543"/>
      <c r="GA33" s="543"/>
      <c r="GB33" s="543"/>
      <c r="GC33" s="543"/>
      <c r="GD33" s="543"/>
      <c r="GE33" s="543"/>
      <c r="GF33" s="543"/>
      <c r="GG33" s="543"/>
      <c r="GH33" s="543"/>
      <c r="GI33" s="543"/>
      <c r="GJ33" s="543"/>
      <c r="GK33" s="543"/>
      <c r="GL33" s="543"/>
      <c r="GM33" s="543"/>
      <c r="GN33" s="543"/>
      <c r="GO33" s="543"/>
      <c r="GP33" s="543"/>
      <c r="GQ33" s="543"/>
      <c r="GR33" s="543"/>
      <c r="GS33" s="543"/>
      <c r="GT33" s="543"/>
      <c r="GU33" s="543"/>
      <c r="GV33" s="543"/>
      <c r="GW33" s="543"/>
      <c r="GX33" s="543"/>
      <c r="GY33" s="543"/>
      <c r="GZ33" s="543"/>
      <c r="HA33" s="543"/>
      <c r="HB33" s="543"/>
      <c r="HC33" s="543"/>
      <c r="HD33" s="543"/>
      <c r="HE33" s="543"/>
      <c r="HF33" s="543"/>
      <c r="HG33" s="543"/>
      <c r="HH33" s="543"/>
      <c r="HI33" s="543"/>
      <c r="HJ33" s="543"/>
      <c r="HK33" s="543"/>
      <c r="HL33" s="543"/>
      <c r="HM33" s="543"/>
      <c r="HN33" s="543"/>
      <c r="HO33" s="543"/>
      <c r="HP33" s="543"/>
      <c r="HQ33" s="543"/>
      <c r="HR33" s="543"/>
      <c r="HS33" s="543"/>
      <c r="HT33" s="543"/>
      <c r="HU33" s="543"/>
      <c r="HV33" s="543"/>
      <c r="HW33" s="543"/>
      <c r="HX33" s="543"/>
      <c r="HY33" s="543"/>
      <c r="HZ33" s="543"/>
      <c r="IA33" s="543"/>
      <c r="IB33" s="543"/>
      <c r="IC33" s="543"/>
      <c r="ID33" s="543"/>
      <c r="IE33" s="543"/>
      <c r="IF33" s="543"/>
      <c r="IG33" s="543"/>
      <c r="IH33" s="543"/>
      <c r="II33" s="543"/>
      <c r="IJ33" s="543"/>
      <c r="IK33" s="543"/>
      <c r="IL33" s="543"/>
      <c r="IM33" s="543"/>
      <c r="IN33" s="543"/>
      <c r="IO33" s="543"/>
      <c r="IP33" s="543"/>
      <c r="IQ33" s="543"/>
      <c r="IR33" s="543"/>
      <c r="IS33" s="543"/>
      <c r="IT33" s="543"/>
      <c r="IU33" s="543"/>
    </row>
    <row r="34" spans="1:255" ht="15" hidden="1">
      <c r="A34" s="553">
        <v>8</v>
      </c>
      <c r="B34" s="292"/>
      <c r="C34" s="293" t="s">
        <v>1</v>
      </c>
      <c r="D34" s="294"/>
      <c r="E34" s="279"/>
      <c r="F34" s="270">
        <f t="shared" si="0"/>
        <v>0</v>
      </c>
      <c r="G34" s="544"/>
      <c r="H34" s="544"/>
      <c r="M34" s="544"/>
      <c r="N34" s="544"/>
      <c r="O34" s="544"/>
      <c r="P34" s="543"/>
      <c r="Q34" s="543"/>
      <c r="R34" s="543"/>
      <c r="S34" s="543"/>
      <c r="T34" s="543"/>
      <c r="U34" s="543"/>
      <c r="V34" s="543"/>
      <c r="W34" s="543"/>
      <c r="X34" s="543"/>
      <c r="Y34" s="543"/>
      <c r="Z34" s="543"/>
      <c r="AA34" s="543"/>
      <c r="AB34" s="543"/>
      <c r="AC34" s="543"/>
      <c r="AD34" s="543"/>
      <c r="AE34" s="543"/>
      <c r="AF34" s="543"/>
      <c r="AG34" s="543"/>
      <c r="AH34" s="543"/>
      <c r="AI34" s="543"/>
      <c r="AJ34" s="543"/>
      <c r="AK34" s="543"/>
      <c r="AL34" s="543"/>
      <c r="AM34" s="543"/>
      <c r="AN34" s="543"/>
      <c r="AO34" s="543"/>
      <c r="AP34" s="543"/>
      <c r="AQ34" s="543"/>
      <c r="AR34" s="543"/>
      <c r="AS34" s="543"/>
      <c r="AT34" s="543"/>
      <c r="AU34" s="543"/>
      <c r="AV34" s="543"/>
      <c r="AW34" s="543"/>
      <c r="AX34" s="543"/>
      <c r="AY34" s="543"/>
      <c r="AZ34" s="543"/>
      <c r="BA34" s="543"/>
      <c r="BB34" s="543"/>
      <c r="BC34" s="543"/>
      <c r="BD34" s="543"/>
      <c r="BE34" s="543"/>
      <c r="BF34" s="543"/>
      <c r="BG34" s="543"/>
      <c r="BH34" s="543"/>
      <c r="BI34" s="543"/>
      <c r="BJ34" s="543"/>
      <c r="BK34" s="543"/>
      <c r="BL34" s="543"/>
      <c r="BM34" s="543"/>
      <c r="BN34" s="543"/>
      <c r="BO34" s="543"/>
      <c r="BP34" s="543"/>
      <c r="BQ34" s="543"/>
      <c r="BR34" s="543"/>
      <c r="BS34" s="543"/>
      <c r="BT34" s="543"/>
      <c r="BU34" s="543"/>
      <c r="BV34" s="543"/>
      <c r="BW34" s="543"/>
      <c r="BX34" s="543"/>
      <c r="BY34" s="543"/>
      <c r="BZ34" s="543"/>
      <c r="CA34" s="543"/>
      <c r="CB34" s="543"/>
      <c r="CC34" s="543"/>
      <c r="CD34" s="543"/>
      <c r="CE34" s="543"/>
      <c r="CF34" s="543"/>
      <c r="CG34" s="543"/>
      <c r="CH34" s="543"/>
      <c r="CI34" s="543"/>
      <c r="CJ34" s="543"/>
      <c r="CK34" s="543"/>
      <c r="CL34" s="543"/>
      <c r="CM34" s="543"/>
      <c r="CN34" s="543"/>
      <c r="CO34" s="543"/>
      <c r="CP34" s="543"/>
      <c r="CQ34" s="543"/>
      <c r="CR34" s="543"/>
      <c r="CS34" s="543"/>
      <c r="CT34" s="543"/>
      <c r="CU34" s="543"/>
      <c r="CV34" s="543"/>
      <c r="CW34" s="543"/>
      <c r="CX34" s="543"/>
      <c r="CY34" s="543"/>
      <c r="CZ34" s="543"/>
      <c r="DA34" s="543"/>
      <c r="DB34" s="543"/>
      <c r="DC34" s="543"/>
      <c r="DD34" s="543"/>
      <c r="DE34" s="543"/>
      <c r="DF34" s="543"/>
      <c r="DG34" s="543"/>
      <c r="DH34" s="543"/>
      <c r="DI34" s="543"/>
      <c r="DJ34" s="543"/>
      <c r="DK34" s="543"/>
      <c r="DL34" s="543"/>
      <c r="DM34" s="543"/>
      <c r="DN34" s="543"/>
      <c r="DO34" s="543"/>
      <c r="DP34" s="543"/>
      <c r="DQ34" s="543"/>
      <c r="DR34" s="543"/>
      <c r="DS34" s="543"/>
      <c r="DT34" s="543"/>
      <c r="DU34" s="543"/>
      <c r="DV34" s="543"/>
      <c r="DW34" s="543"/>
      <c r="DX34" s="543"/>
      <c r="DY34" s="543"/>
      <c r="DZ34" s="543"/>
      <c r="EA34" s="543"/>
      <c r="EB34" s="543"/>
      <c r="EC34" s="543"/>
      <c r="ED34" s="543"/>
      <c r="EE34" s="543"/>
      <c r="EF34" s="543"/>
      <c r="EG34" s="543"/>
      <c r="EH34" s="543"/>
      <c r="EI34" s="543"/>
      <c r="EJ34" s="543"/>
      <c r="EK34" s="543"/>
      <c r="EL34" s="543"/>
      <c r="EM34" s="543"/>
      <c r="EN34" s="543"/>
      <c r="EO34" s="543"/>
      <c r="EP34" s="543"/>
      <c r="EQ34" s="543"/>
      <c r="ER34" s="543"/>
      <c r="ES34" s="543"/>
      <c r="ET34" s="543"/>
      <c r="EU34" s="543"/>
      <c r="EV34" s="543"/>
      <c r="EW34" s="543"/>
      <c r="EX34" s="543"/>
      <c r="EY34" s="543"/>
      <c r="EZ34" s="543"/>
      <c r="FA34" s="543"/>
      <c r="FB34" s="543"/>
      <c r="FC34" s="543"/>
      <c r="FD34" s="543"/>
      <c r="FE34" s="543"/>
      <c r="FF34" s="543"/>
      <c r="FG34" s="543"/>
      <c r="FH34" s="543"/>
      <c r="FI34" s="543"/>
      <c r="FJ34" s="543"/>
      <c r="FK34" s="543"/>
      <c r="FL34" s="543"/>
      <c r="FM34" s="543"/>
      <c r="FN34" s="543"/>
      <c r="FO34" s="543"/>
      <c r="FP34" s="543"/>
      <c r="FQ34" s="543"/>
      <c r="FR34" s="543"/>
      <c r="FS34" s="543"/>
      <c r="FT34" s="543"/>
      <c r="FU34" s="543"/>
      <c r="FV34" s="543"/>
      <c r="FW34" s="543"/>
      <c r="FX34" s="543"/>
      <c r="FY34" s="543"/>
      <c r="FZ34" s="543"/>
      <c r="GA34" s="543"/>
      <c r="GB34" s="543"/>
      <c r="GC34" s="543"/>
      <c r="GD34" s="543"/>
      <c r="GE34" s="543"/>
      <c r="GF34" s="543"/>
      <c r="GG34" s="543"/>
      <c r="GH34" s="543"/>
      <c r="GI34" s="543"/>
      <c r="GJ34" s="543"/>
      <c r="GK34" s="543"/>
      <c r="GL34" s="543"/>
      <c r="GM34" s="543"/>
      <c r="GN34" s="543"/>
      <c r="GO34" s="543"/>
      <c r="GP34" s="543"/>
      <c r="GQ34" s="543"/>
      <c r="GR34" s="543"/>
      <c r="GS34" s="543"/>
      <c r="GT34" s="543"/>
      <c r="GU34" s="543"/>
      <c r="GV34" s="543"/>
      <c r="GW34" s="543"/>
      <c r="GX34" s="543"/>
      <c r="GY34" s="543"/>
      <c r="GZ34" s="543"/>
      <c r="HA34" s="543"/>
      <c r="HB34" s="543"/>
      <c r="HC34" s="543"/>
      <c r="HD34" s="543"/>
      <c r="HE34" s="543"/>
      <c r="HF34" s="543"/>
      <c r="HG34" s="543"/>
      <c r="HH34" s="543"/>
      <c r="HI34" s="543"/>
      <c r="HJ34" s="543"/>
      <c r="HK34" s="543"/>
      <c r="HL34" s="543"/>
      <c r="HM34" s="543"/>
      <c r="HN34" s="543"/>
      <c r="HO34" s="543"/>
      <c r="HP34" s="543"/>
      <c r="HQ34" s="543"/>
      <c r="HR34" s="543"/>
      <c r="HS34" s="543"/>
      <c r="HT34" s="543"/>
      <c r="HU34" s="543"/>
      <c r="HV34" s="543"/>
      <c r="HW34" s="543"/>
      <c r="HX34" s="543"/>
      <c r="HY34" s="543"/>
      <c r="HZ34" s="543"/>
      <c r="IA34" s="543"/>
      <c r="IB34" s="543"/>
      <c r="IC34" s="543"/>
      <c r="ID34" s="543"/>
      <c r="IE34" s="543"/>
      <c r="IF34" s="543"/>
      <c r="IG34" s="543"/>
      <c r="IH34" s="543"/>
      <c r="II34" s="543"/>
      <c r="IJ34" s="543"/>
      <c r="IK34" s="543"/>
      <c r="IL34" s="543"/>
      <c r="IM34" s="543"/>
      <c r="IN34" s="543"/>
      <c r="IO34" s="543"/>
      <c r="IP34" s="543"/>
      <c r="IQ34" s="543"/>
      <c r="IR34" s="543"/>
      <c r="IS34" s="543"/>
      <c r="IT34" s="543"/>
      <c r="IU34" s="543"/>
    </row>
    <row r="35" spans="1:255" ht="15" hidden="1">
      <c r="A35" s="553">
        <v>9</v>
      </c>
      <c r="B35" s="292"/>
      <c r="C35" s="293" t="s">
        <v>1</v>
      </c>
      <c r="D35" s="294"/>
      <c r="E35" s="279"/>
      <c r="F35" s="270">
        <f t="shared" si="0"/>
        <v>0</v>
      </c>
      <c r="G35" s="544"/>
      <c r="H35" s="544"/>
      <c r="M35" s="544"/>
      <c r="N35" s="544"/>
      <c r="O35" s="544"/>
      <c r="P35" s="543"/>
      <c r="Q35" s="543"/>
      <c r="R35" s="543"/>
      <c r="S35" s="543"/>
      <c r="T35" s="543"/>
      <c r="U35" s="543"/>
      <c r="V35" s="543"/>
      <c r="W35" s="543"/>
      <c r="X35" s="543"/>
      <c r="Y35" s="543"/>
      <c r="Z35" s="543"/>
      <c r="AA35" s="543"/>
      <c r="AB35" s="543"/>
      <c r="AC35" s="543"/>
      <c r="AD35" s="543"/>
      <c r="AE35" s="543"/>
      <c r="AF35" s="543"/>
      <c r="AG35" s="543"/>
      <c r="AH35" s="543"/>
      <c r="AI35" s="543"/>
      <c r="AJ35" s="543"/>
      <c r="AK35" s="543"/>
      <c r="AL35" s="543"/>
      <c r="AM35" s="543"/>
      <c r="AN35" s="543"/>
      <c r="AO35" s="543"/>
      <c r="AP35" s="543"/>
      <c r="AQ35" s="543"/>
      <c r="AR35" s="543"/>
      <c r="AS35" s="543"/>
      <c r="AT35" s="543"/>
      <c r="AU35" s="543"/>
      <c r="AV35" s="543"/>
      <c r="AW35" s="543"/>
      <c r="AX35" s="543"/>
      <c r="AY35" s="543"/>
      <c r="AZ35" s="543"/>
      <c r="BA35" s="543"/>
      <c r="BB35" s="543"/>
      <c r="BC35" s="543"/>
      <c r="BD35" s="543"/>
      <c r="BE35" s="543"/>
      <c r="BF35" s="543"/>
      <c r="BG35" s="543"/>
      <c r="BH35" s="543"/>
      <c r="BI35" s="543"/>
      <c r="BJ35" s="543"/>
      <c r="BK35" s="543"/>
      <c r="BL35" s="543"/>
      <c r="BM35" s="543"/>
      <c r="BN35" s="543"/>
      <c r="BO35" s="543"/>
      <c r="BP35" s="543"/>
      <c r="BQ35" s="543"/>
      <c r="BR35" s="543"/>
      <c r="BS35" s="543"/>
      <c r="BT35" s="543"/>
      <c r="BU35" s="543"/>
      <c r="BV35" s="543"/>
      <c r="BW35" s="543"/>
      <c r="BX35" s="543"/>
      <c r="BY35" s="543"/>
      <c r="BZ35" s="543"/>
      <c r="CA35" s="543"/>
      <c r="CB35" s="543"/>
      <c r="CC35" s="543"/>
      <c r="CD35" s="543"/>
      <c r="CE35" s="543"/>
      <c r="CF35" s="543"/>
      <c r="CG35" s="543"/>
      <c r="CH35" s="543"/>
      <c r="CI35" s="543"/>
      <c r="CJ35" s="543"/>
      <c r="CK35" s="543"/>
      <c r="CL35" s="543"/>
      <c r="CM35" s="543"/>
      <c r="CN35" s="543"/>
      <c r="CO35" s="543"/>
      <c r="CP35" s="543"/>
      <c r="CQ35" s="543"/>
      <c r="CR35" s="543"/>
      <c r="CS35" s="543"/>
      <c r="CT35" s="543"/>
      <c r="CU35" s="543"/>
      <c r="CV35" s="543"/>
      <c r="CW35" s="543"/>
      <c r="CX35" s="543"/>
      <c r="CY35" s="543"/>
      <c r="CZ35" s="543"/>
      <c r="DA35" s="543"/>
      <c r="DB35" s="543"/>
      <c r="DC35" s="543"/>
      <c r="DD35" s="543"/>
      <c r="DE35" s="543"/>
      <c r="DF35" s="543"/>
      <c r="DG35" s="543"/>
      <c r="DH35" s="543"/>
      <c r="DI35" s="543"/>
      <c r="DJ35" s="543"/>
      <c r="DK35" s="543"/>
      <c r="DL35" s="543"/>
      <c r="DM35" s="543"/>
      <c r="DN35" s="543"/>
      <c r="DO35" s="543"/>
      <c r="DP35" s="543"/>
      <c r="DQ35" s="543"/>
      <c r="DR35" s="543"/>
      <c r="DS35" s="543"/>
      <c r="DT35" s="543"/>
      <c r="DU35" s="543"/>
      <c r="DV35" s="543"/>
      <c r="DW35" s="543"/>
      <c r="DX35" s="543"/>
      <c r="DY35" s="543"/>
      <c r="DZ35" s="543"/>
      <c r="EA35" s="543"/>
      <c r="EB35" s="543"/>
      <c r="EC35" s="543"/>
      <c r="ED35" s="543"/>
      <c r="EE35" s="543"/>
      <c r="EF35" s="543"/>
      <c r="EG35" s="543"/>
      <c r="EH35" s="543"/>
      <c r="EI35" s="543"/>
      <c r="EJ35" s="543"/>
      <c r="EK35" s="543"/>
      <c r="EL35" s="543"/>
      <c r="EM35" s="543"/>
      <c r="EN35" s="543"/>
      <c r="EO35" s="543"/>
      <c r="EP35" s="543"/>
      <c r="EQ35" s="543"/>
      <c r="ER35" s="543"/>
      <c r="ES35" s="543"/>
      <c r="ET35" s="543"/>
      <c r="EU35" s="543"/>
      <c r="EV35" s="543"/>
      <c r="EW35" s="543"/>
      <c r="EX35" s="543"/>
      <c r="EY35" s="543"/>
      <c r="EZ35" s="543"/>
      <c r="FA35" s="543"/>
      <c r="FB35" s="543"/>
      <c r="FC35" s="543"/>
      <c r="FD35" s="543"/>
      <c r="FE35" s="543"/>
      <c r="FF35" s="543"/>
      <c r="FG35" s="543"/>
      <c r="FH35" s="543"/>
      <c r="FI35" s="543"/>
      <c r="FJ35" s="543"/>
      <c r="FK35" s="543"/>
      <c r="FL35" s="543"/>
      <c r="FM35" s="543"/>
      <c r="FN35" s="543"/>
      <c r="FO35" s="543"/>
      <c r="FP35" s="543"/>
      <c r="FQ35" s="543"/>
      <c r="FR35" s="543"/>
      <c r="FS35" s="543"/>
      <c r="FT35" s="543"/>
      <c r="FU35" s="543"/>
      <c r="FV35" s="543"/>
      <c r="FW35" s="543"/>
      <c r="FX35" s="543"/>
      <c r="FY35" s="543"/>
      <c r="FZ35" s="543"/>
      <c r="GA35" s="543"/>
      <c r="GB35" s="543"/>
      <c r="GC35" s="543"/>
      <c r="GD35" s="543"/>
      <c r="GE35" s="543"/>
      <c r="GF35" s="543"/>
      <c r="GG35" s="543"/>
      <c r="GH35" s="543"/>
      <c r="GI35" s="543"/>
      <c r="GJ35" s="543"/>
      <c r="GK35" s="543"/>
      <c r="GL35" s="543"/>
      <c r="GM35" s="543"/>
      <c r="GN35" s="543"/>
      <c r="GO35" s="543"/>
      <c r="GP35" s="543"/>
      <c r="GQ35" s="543"/>
      <c r="GR35" s="543"/>
      <c r="GS35" s="543"/>
      <c r="GT35" s="543"/>
      <c r="GU35" s="543"/>
      <c r="GV35" s="543"/>
      <c r="GW35" s="543"/>
      <c r="GX35" s="543"/>
      <c r="GY35" s="543"/>
      <c r="GZ35" s="543"/>
      <c r="HA35" s="543"/>
      <c r="HB35" s="543"/>
      <c r="HC35" s="543"/>
      <c r="HD35" s="543"/>
      <c r="HE35" s="543"/>
      <c r="HF35" s="543"/>
      <c r="HG35" s="543"/>
      <c r="HH35" s="543"/>
      <c r="HI35" s="543"/>
      <c r="HJ35" s="543"/>
      <c r="HK35" s="543"/>
      <c r="HL35" s="543"/>
      <c r="HM35" s="543"/>
      <c r="HN35" s="543"/>
      <c r="HO35" s="543"/>
      <c r="HP35" s="543"/>
      <c r="HQ35" s="543"/>
      <c r="HR35" s="543"/>
      <c r="HS35" s="543"/>
      <c r="HT35" s="543"/>
      <c r="HU35" s="543"/>
      <c r="HV35" s="543"/>
      <c r="HW35" s="543"/>
      <c r="HX35" s="543"/>
      <c r="HY35" s="543"/>
      <c r="HZ35" s="543"/>
      <c r="IA35" s="543"/>
      <c r="IB35" s="543"/>
      <c r="IC35" s="543"/>
      <c r="ID35" s="543"/>
      <c r="IE35" s="543"/>
      <c r="IF35" s="543"/>
      <c r="IG35" s="543"/>
      <c r="IH35" s="543"/>
      <c r="II35" s="543"/>
      <c r="IJ35" s="543"/>
      <c r="IK35" s="543"/>
      <c r="IL35" s="543"/>
      <c r="IM35" s="543"/>
      <c r="IN35" s="543"/>
      <c r="IO35" s="543"/>
      <c r="IP35" s="543"/>
      <c r="IQ35" s="543"/>
      <c r="IR35" s="543"/>
      <c r="IS35" s="543"/>
      <c r="IT35" s="543"/>
      <c r="IU35" s="543"/>
    </row>
    <row r="36" spans="1:255" ht="15" hidden="1">
      <c r="A36" s="553">
        <v>10</v>
      </c>
      <c r="B36" s="292"/>
      <c r="C36" s="293" t="s">
        <v>219</v>
      </c>
      <c r="D36" s="294"/>
      <c r="E36" s="279"/>
      <c r="F36" s="270">
        <f t="shared" si="0"/>
        <v>0</v>
      </c>
      <c r="G36" s="544"/>
      <c r="H36" s="544"/>
      <c r="M36" s="544"/>
      <c r="N36" s="544"/>
      <c r="O36" s="544"/>
      <c r="P36" s="543"/>
      <c r="Q36" s="543"/>
      <c r="R36" s="543"/>
      <c r="S36" s="543"/>
      <c r="T36" s="543"/>
      <c r="U36" s="543"/>
      <c r="V36" s="543"/>
      <c r="W36" s="543"/>
      <c r="X36" s="543"/>
      <c r="Y36" s="543"/>
      <c r="Z36" s="543"/>
      <c r="AA36" s="543"/>
      <c r="AB36" s="543"/>
      <c r="AC36" s="543"/>
      <c r="AD36" s="543"/>
      <c r="AE36" s="543"/>
      <c r="AF36" s="543"/>
      <c r="AG36" s="543"/>
      <c r="AH36" s="543"/>
      <c r="AI36" s="543"/>
      <c r="AJ36" s="543"/>
      <c r="AK36" s="543"/>
      <c r="AL36" s="543"/>
      <c r="AM36" s="543"/>
      <c r="AN36" s="543"/>
      <c r="AO36" s="543"/>
      <c r="AP36" s="543"/>
      <c r="AQ36" s="543"/>
      <c r="AR36" s="543"/>
      <c r="AS36" s="543"/>
      <c r="AT36" s="543"/>
      <c r="AU36" s="543"/>
      <c r="AV36" s="543"/>
      <c r="AW36" s="543"/>
      <c r="AX36" s="543"/>
      <c r="AY36" s="543"/>
      <c r="AZ36" s="543"/>
      <c r="BA36" s="543"/>
      <c r="BB36" s="543"/>
      <c r="BC36" s="543"/>
      <c r="BD36" s="543"/>
      <c r="BE36" s="543"/>
      <c r="BF36" s="543"/>
      <c r="BG36" s="543"/>
      <c r="BH36" s="543"/>
      <c r="BI36" s="543"/>
      <c r="BJ36" s="543"/>
      <c r="BK36" s="543"/>
      <c r="BL36" s="543"/>
      <c r="BM36" s="543"/>
      <c r="BN36" s="543"/>
      <c r="BO36" s="543"/>
      <c r="BP36" s="543"/>
      <c r="BQ36" s="543"/>
      <c r="BR36" s="543"/>
      <c r="BS36" s="543"/>
      <c r="BT36" s="543"/>
      <c r="BU36" s="543"/>
      <c r="BV36" s="543"/>
      <c r="BW36" s="543"/>
      <c r="BX36" s="543"/>
      <c r="BY36" s="543"/>
      <c r="BZ36" s="543"/>
      <c r="CA36" s="543"/>
      <c r="CB36" s="543"/>
      <c r="CC36" s="543"/>
      <c r="CD36" s="543"/>
      <c r="CE36" s="543"/>
      <c r="CF36" s="543"/>
      <c r="CG36" s="543"/>
      <c r="CH36" s="543"/>
      <c r="CI36" s="543"/>
      <c r="CJ36" s="543"/>
      <c r="CK36" s="543"/>
      <c r="CL36" s="543"/>
      <c r="CM36" s="543"/>
      <c r="CN36" s="543"/>
      <c r="CO36" s="543"/>
      <c r="CP36" s="543"/>
      <c r="CQ36" s="543"/>
      <c r="CR36" s="543"/>
      <c r="CS36" s="543"/>
      <c r="CT36" s="543"/>
      <c r="CU36" s="543"/>
      <c r="CV36" s="543"/>
      <c r="CW36" s="543"/>
      <c r="CX36" s="543"/>
      <c r="CY36" s="543"/>
      <c r="CZ36" s="543"/>
      <c r="DA36" s="543"/>
      <c r="DB36" s="543"/>
      <c r="DC36" s="543"/>
      <c r="DD36" s="543"/>
      <c r="DE36" s="543"/>
      <c r="DF36" s="543"/>
      <c r="DG36" s="543"/>
      <c r="DH36" s="543"/>
      <c r="DI36" s="543"/>
      <c r="DJ36" s="543"/>
      <c r="DK36" s="543"/>
      <c r="DL36" s="543"/>
      <c r="DM36" s="543"/>
      <c r="DN36" s="543"/>
      <c r="DO36" s="543"/>
      <c r="DP36" s="543"/>
      <c r="DQ36" s="543"/>
      <c r="DR36" s="543"/>
      <c r="DS36" s="543"/>
      <c r="DT36" s="543"/>
      <c r="DU36" s="543"/>
      <c r="DV36" s="543"/>
      <c r="DW36" s="543"/>
      <c r="DX36" s="543"/>
      <c r="DY36" s="543"/>
      <c r="DZ36" s="543"/>
      <c r="EA36" s="543"/>
      <c r="EB36" s="543"/>
      <c r="EC36" s="543"/>
      <c r="ED36" s="543"/>
      <c r="EE36" s="543"/>
      <c r="EF36" s="543"/>
      <c r="EG36" s="543"/>
      <c r="EH36" s="543"/>
      <c r="EI36" s="543"/>
      <c r="EJ36" s="543"/>
      <c r="EK36" s="543"/>
      <c r="EL36" s="543"/>
      <c r="EM36" s="543"/>
      <c r="EN36" s="543"/>
      <c r="EO36" s="543"/>
      <c r="EP36" s="543"/>
      <c r="EQ36" s="543"/>
      <c r="ER36" s="543"/>
      <c r="ES36" s="543"/>
      <c r="ET36" s="543"/>
      <c r="EU36" s="543"/>
      <c r="EV36" s="543"/>
      <c r="EW36" s="543"/>
      <c r="EX36" s="543"/>
      <c r="EY36" s="543"/>
      <c r="EZ36" s="543"/>
      <c r="FA36" s="543"/>
      <c r="FB36" s="543"/>
      <c r="FC36" s="543"/>
      <c r="FD36" s="543"/>
      <c r="FE36" s="543"/>
      <c r="FF36" s="543"/>
      <c r="FG36" s="543"/>
      <c r="FH36" s="543"/>
      <c r="FI36" s="543"/>
      <c r="FJ36" s="543"/>
      <c r="FK36" s="543"/>
      <c r="FL36" s="543"/>
      <c r="FM36" s="543"/>
      <c r="FN36" s="543"/>
      <c r="FO36" s="543"/>
      <c r="FP36" s="543"/>
      <c r="FQ36" s="543"/>
      <c r="FR36" s="543"/>
      <c r="FS36" s="543"/>
      <c r="FT36" s="543"/>
      <c r="FU36" s="543"/>
      <c r="FV36" s="543"/>
      <c r="FW36" s="543"/>
      <c r="FX36" s="543"/>
      <c r="FY36" s="543"/>
      <c r="FZ36" s="543"/>
      <c r="GA36" s="543"/>
      <c r="GB36" s="543"/>
      <c r="GC36" s="543"/>
      <c r="GD36" s="543"/>
      <c r="GE36" s="543"/>
      <c r="GF36" s="543"/>
      <c r="GG36" s="543"/>
      <c r="GH36" s="543"/>
      <c r="GI36" s="543"/>
      <c r="GJ36" s="543"/>
      <c r="GK36" s="543"/>
      <c r="GL36" s="543"/>
      <c r="GM36" s="543"/>
      <c r="GN36" s="543"/>
      <c r="GO36" s="543"/>
      <c r="GP36" s="543"/>
      <c r="GQ36" s="543"/>
      <c r="GR36" s="543"/>
      <c r="GS36" s="543"/>
      <c r="GT36" s="543"/>
      <c r="GU36" s="543"/>
      <c r="GV36" s="543"/>
      <c r="GW36" s="543"/>
      <c r="GX36" s="543"/>
      <c r="GY36" s="543"/>
      <c r="GZ36" s="543"/>
      <c r="HA36" s="543"/>
      <c r="HB36" s="543"/>
      <c r="HC36" s="543"/>
      <c r="HD36" s="543"/>
      <c r="HE36" s="543"/>
      <c r="HF36" s="543"/>
      <c r="HG36" s="543"/>
      <c r="HH36" s="543"/>
      <c r="HI36" s="543"/>
      <c r="HJ36" s="543"/>
      <c r="HK36" s="543"/>
      <c r="HL36" s="543"/>
      <c r="HM36" s="543"/>
      <c r="HN36" s="543"/>
      <c r="HO36" s="543"/>
      <c r="HP36" s="543"/>
      <c r="HQ36" s="543"/>
      <c r="HR36" s="543"/>
      <c r="HS36" s="543"/>
      <c r="HT36" s="543"/>
      <c r="HU36" s="543"/>
      <c r="HV36" s="543"/>
      <c r="HW36" s="543"/>
      <c r="HX36" s="543"/>
      <c r="HY36" s="543"/>
      <c r="HZ36" s="543"/>
      <c r="IA36" s="543"/>
      <c r="IB36" s="543"/>
      <c r="IC36" s="543"/>
      <c r="ID36" s="543"/>
      <c r="IE36" s="543"/>
      <c r="IF36" s="543"/>
      <c r="IG36" s="543"/>
      <c r="IH36" s="543"/>
      <c r="II36" s="543"/>
      <c r="IJ36" s="543"/>
      <c r="IK36" s="543"/>
      <c r="IL36" s="543"/>
      <c r="IM36" s="543"/>
      <c r="IN36" s="543"/>
      <c r="IO36" s="543"/>
      <c r="IP36" s="543"/>
      <c r="IQ36" s="543"/>
      <c r="IR36" s="543"/>
      <c r="IS36" s="543"/>
      <c r="IT36" s="543"/>
      <c r="IU36" s="543"/>
    </row>
    <row r="37" spans="1:255" ht="15" hidden="1">
      <c r="A37" s="553">
        <v>11</v>
      </c>
      <c r="B37" s="292"/>
      <c r="C37" s="293" t="s">
        <v>219</v>
      </c>
      <c r="D37" s="294"/>
      <c r="E37" s="279"/>
      <c r="F37" s="270">
        <f t="shared" si="0"/>
        <v>0</v>
      </c>
      <c r="G37" s="544"/>
      <c r="H37" s="544"/>
      <c r="M37" s="544"/>
      <c r="N37" s="544"/>
      <c r="O37" s="544"/>
      <c r="P37" s="543"/>
      <c r="Q37" s="543"/>
      <c r="R37" s="543"/>
      <c r="S37" s="543"/>
      <c r="T37" s="543"/>
      <c r="U37" s="543"/>
      <c r="V37" s="543"/>
      <c r="W37" s="543"/>
      <c r="X37" s="543"/>
      <c r="Y37" s="543"/>
      <c r="Z37" s="543"/>
      <c r="AA37" s="543"/>
      <c r="AB37" s="543"/>
      <c r="AC37" s="543"/>
      <c r="AD37" s="543"/>
      <c r="AE37" s="543"/>
      <c r="AF37" s="543"/>
      <c r="AG37" s="543"/>
      <c r="AH37" s="543"/>
      <c r="AI37" s="543"/>
      <c r="AJ37" s="543"/>
      <c r="AK37" s="543"/>
      <c r="AL37" s="543"/>
      <c r="AM37" s="543"/>
      <c r="AN37" s="543"/>
      <c r="AO37" s="543"/>
      <c r="AP37" s="543"/>
      <c r="AQ37" s="543"/>
      <c r="AR37" s="543"/>
      <c r="AS37" s="543"/>
      <c r="AT37" s="543"/>
      <c r="AU37" s="543"/>
      <c r="AV37" s="543"/>
      <c r="AW37" s="543"/>
      <c r="AX37" s="543"/>
      <c r="AY37" s="543"/>
      <c r="AZ37" s="543"/>
      <c r="BA37" s="543"/>
      <c r="BB37" s="543"/>
      <c r="BC37" s="543"/>
      <c r="BD37" s="543"/>
      <c r="BE37" s="543"/>
      <c r="BF37" s="543"/>
      <c r="BG37" s="543"/>
      <c r="BH37" s="543"/>
      <c r="BI37" s="543"/>
      <c r="BJ37" s="543"/>
      <c r="BK37" s="543"/>
      <c r="BL37" s="543"/>
      <c r="BM37" s="543"/>
      <c r="BN37" s="543"/>
      <c r="BO37" s="543"/>
      <c r="BP37" s="543"/>
      <c r="BQ37" s="543"/>
      <c r="BR37" s="543"/>
      <c r="BS37" s="543"/>
      <c r="BT37" s="543"/>
      <c r="BU37" s="543"/>
      <c r="BV37" s="543"/>
      <c r="BW37" s="543"/>
      <c r="BX37" s="543"/>
      <c r="BY37" s="543"/>
      <c r="BZ37" s="543"/>
      <c r="CA37" s="543"/>
      <c r="CB37" s="543"/>
      <c r="CC37" s="543"/>
      <c r="CD37" s="543"/>
      <c r="CE37" s="543"/>
      <c r="CF37" s="543"/>
      <c r="CG37" s="543"/>
      <c r="CH37" s="543"/>
      <c r="CI37" s="543"/>
      <c r="CJ37" s="543"/>
      <c r="CK37" s="543"/>
      <c r="CL37" s="543"/>
      <c r="CM37" s="543"/>
      <c r="CN37" s="543"/>
      <c r="CO37" s="543"/>
      <c r="CP37" s="543"/>
      <c r="CQ37" s="543"/>
      <c r="CR37" s="543"/>
      <c r="CS37" s="543"/>
      <c r="CT37" s="543"/>
      <c r="CU37" s="543"/>
      <c r="CV37" s="543"/>
      <c r="CW37" s="543"/>
      <c r="CX37" s="543"/>
      <c r="CY37" s="543"/>
      <c r="CZ37" s="543"/>
      <c r="DA37" s="543"/>
      <c r="DB37" s="543"/>
      <c r="DC37" s="543"/>
      <c r="DD37" s="543"/>
      <c r="DE37" s="543"/>
      <c r="DF37" s="543"/>
      <c r="DG37" s="543"/>
      <c r="DH37" s="543"/>
      <c r="DI37" s="543"/>
      <c r="DJ37" s="543"/>
      <c r="DK37" s="543"/>
      <c r="DL37" s="543"/>
      <c r="DM37" s="543"/>
      <c r="DN37" s="543"/>
      <c r="DO37" s="543"/>
      <c r="DP37" s="543"/>
      <c r="DQ37" s="543"/>
      <c r="DR37" s="543"/>
      <c r="DS37" s="543"/>
      <c r="DT37" s="543"/>
      <c r="DU37" s="543"/>
      <c r="DV37" s="543"/>
      <c r="DW37" s="543"/>
      <c r="DX37" s="543"/>
      <c r="DY37" s="543"/>
      <c r="DZ37" s="543"/>
      <c r="EA37" s="543"/>
      <c r="EB37" s="543"/>
      <c r="EC37" s="543"/>
      <c r="ED37" s="543"/>
      <c r="EE37" s="543"/>
      <c r="EF37" s="543"/>
      <c r="EG37" s="543"/>
      <c r="EH37" s="543"/>
      <c r="EI37" s="543"/>
      <c r="EJ37" s="543"/>
      <c r="EK37" s="543"/>
      <c r="EL37" s="543"/>
      <c r="EM37" s="543"/>
      <c r="EN37" s="543"/>
      <c r="EO37" s="543"/>
      <c r="EP37" s="543"/>
      <c r="EQ37" s="543"/>
      <c r="ER37" s="543"/>
      <c r="ES37" s="543"/>
      <c r="ET37" s="543"/>
      <c r="EU37" s="543"/>
      <c r="EV37" s="543"/>
      <c r="EW37" s="543"/>
      <c r="EX37" s="543"/>
      <c r="EY37" s="543"/>
      <c r="EZ37" s="543"/>
      <c r="FA37" s="543"/>
      <c r="FB37" s="543"/>
      <c r="FC37" s="543"/>
      <c r="FD37" s="543"/>
      <c r="FE37" s="543"/>
      <c r="FF37" s="543"/>
      <c r="FG37" s="543"/>
      <c r="FH37" s="543"/>
      <c r="FI37" s="543"/>
      <c r="FJ37" s="543"/>
      <c r="FK37" s="543"/>
      <c r="FL37" s="543"/>
      <c r="FM37" s="543"/>
      <c r="FN37" s="543"/>
      <c r="FO37" s="543"/>
      <c r="FP37" s="543"/>
      <c r="FQ37" s="543"/>
      <c r="FR37" s="543"/>
      <c r="FS37" s="543"/>
      <c r="FT37" s="543"/>
      <c r="FU37" s="543"/>
      <c r="FV37" s="543"/>
      <c r="FW37" s="543"/>
      <c r="FX37" s="543"/>
      <c r="FY37" s="543"/>
      <c r="FZ37" s="543"/>
      <c r="GA37" s="543"/>
      <c r="GB37" s="543"/>
      <c r="GC37" s="543"/>
      <c r="GD37" s="543"/>
      <c r="GE37" s="543"/>
      <c r="GF37" s="543"/>
      <c r="GG37" s="543"/>
      <c r="GH37" s="543"/>
      <c r="GI37" s="543"/>
      <c r="GJ37" s="543"/>
      <c r="GK37" s="543"/>
      <c r="GL37" s="543"/>
      <c r="GM37" s="543"/>
      <c r="GN37" s="543"/>
      <c r="GO37" s="543"/>
      <c r="GP37" s="543"/>
      <c r="GQ37" s="543"/>
      <c r="GR37" s="543"/>
      <c r="GS37" s="543"/>
      <c r="GT37" s="543"/>
      <c r="GU37" s="543"/>
      <c r="GV37" s="543"/>
      <c r="GW37" s="543"/>
      <c r="GX37" s="543"/>
      <c r="GY37" s="543"/>
      <c r="GZ37" s="543"/>
      <c r="HA37" s="543"/>
      <c r="HB37" s="543"/>
      <c r="HC37" s="543"/>
      <c r="HD37" s="543"/>
      <c r="HE37" s="543"/>
      <c r="HF37" s="543"/>
      <c r="HG37" s="543"/>
      <c r="HH37" s="543"/>
      <c r="HI37" s="543"/>
      <c r="HJ37" s="543"/>
      <c r="HK37" s="543"/>
      <c r="HL37" s="543"/>
      <c r="HM37" s="543"/>
      <c r="HN37" s="543"/>
      <c r="HO37" s="543"/>
      <c r="HP37" s="543"/>
      <c r="HQ37" s="543"/>
      <c r="HR37" s="543"/>
      <c r="HS37" s="543"/>
      <c r="HT37" s="543"/>
      <c r="HU37" s="543"/>
      <c r="HV37" s="543"/>
      <c r="HW37" s="543"/>
      <c r="HX37" s="543"/>
      <c r="HY37" s="543"/>
      <c r="HZ37" s="543"/>
      <c r="IA37" s="543"/>
      <c r="IB37" s="543"/>
      <c r="IC37" s="543"/>
      <c r="ID37" s="543"/>
      <c r="IE37" s="543"/>
      <c r="IF37" s="543"/>
      <c r="IG37" s="543"/>
      <c r="IH37" s="543"/>
      <c r="II37" s="543"/>
      <c r="IJ37" s="543"/>
      <c r="IK37" s="543"/>
      <c r="IL37" s="543"/>
      <c r="IM37" s="543"/>
      <c r="IN37" s="543"/>
      <c r="IO37" s="543"/>
      <c r="IP37" s="543"/>
      <c r="IQ37" s="543"/>
      <c r="IR37" s="543"/>
      <c r="IS37" s="543"/>
      <c r="IT37" s="543"/>
      <c r="IU37" s="543"/>
    </row>
    <row r="38" spans="1:255" ht="15">
      <c r="A38" s="545"/>
      <c r="B38" s="524" t="s">
        <v>20</v>
      </c>
      <c r="C38" s="524"/>
      <c r="D38" s="550"/>
      <c r="E38" s="524"/>
      <c r="F38" s="522"/>
      <c r="G38" s="544"/>
      <c r="H38" s="544"/>
      <c r="M38" s="544"/>
      <c r="N38" s="544"/>
      <c r="O38" s="544"/>
    </row>
    <row r="39" spans="1:255" ht="15">
      <c r="A39" s="541"/>
      <c r="B39" s="554" t="s">
        <v>82</v>
      </c>
      <c r="C39" s="555"/>
      <c r="D39" s="555"/>
      <c r="E39" s="555"/>
      <c r="F39" s="548">
        <f>SUM(F27:F38)</f>
        <v>0</v>
      </c>
      <c r="G39" s="544"/>
      <c r="H39" s="544"/>
      <c r="M39" s="544"/>
      <c r="N39" s="544"/>
      <c r="O39" s="544"/>
      <c r="P39" s="543"/>
      <c r="Q39" s="543"/>
      <c r="R39" s="543"/>
      <c r="S39" s="543"/>
      <c r="T39" s="543"/>
      <c r="U39" s="543"/>
      <c r="V39" s="543"/>
      <c r="W39" s="543"/>
      <c r="X39" s="543"/>
      <c r="Y39" s="543"/>
      <c r="Z39" s="543"/>
      <c r="AA39" s="543"/>
      <c r="AB39" s="543"/>
      <c r="AC39" s="543"/>
      <c r="AD39" s="543"/>
      <c r="AE39" s="543"/>
      <c r="AF39" s="543"/>
      <c r="AG39" s="543"/>
      <c r="AH39" s="543"/>
      <c r="AI39" s="543"/>
      <c r="AJ39" s="543"/>
      <c r="AK39" s="543"/>
      <c r="AL39" s="543"/>
      <c r="AM39" s="543"/>
      <c r="AN39" s="543"/>
      <c r="AO39" s="543"/>
      <c r="AP39" s="543"/>
      <c r="AQ39" s="543"/>
      <c r="AR39" s="543"/>
      <c r="AS39" s="543"/>
      <c r="AT39" s="543"/>
      <c r="AU39" s="543"/>
      <c r="AV39" s="543"/>
      <c r="AW39" s="543"/>
      <c r="AX39" s="543"/>
      <c r="AY39" s="543"/>
      <c r="AZ39" s="543"/>
      <c r="BA39" s="543"/>
      <c r="BB39" s="543"/>
      <c r="BC39" s="543"/>
      <c r="BD39" s="543"/>
      <c r="BE39" s="543"/>
      <c r="BF39" s="543"/>
      <c r="BG39" s="543"/>
      <c r="BH39" s="543"/>
      <c r="BI39" s="543"/>
      <c r="BJ39" s="543"/>
      <c r="BK39" s="543"/>
      <c r="BL39" s="543"/>
      <c r="BM39" s="543"/>
      <c r="BN39" s="543"/>
      <c r="BO39" s="543"/>
      <c r="BP39" s="543"/>
      <c r="BQ39" s="543"/>
      <c r="BR39" s="543"/>
      <c r="BS39" s="543"/>
      <c r="BT39" s="543"/>
      <c r="BU39" s="543"/>
      <c r="BV39" s="543"/>
      <c r="BW39" s="543"/>
      <c r="BX39" s="543"/>
      <c r="BY39" s="543"/>
      <c r="BZ39" s="543"/>
      <c r="CA39" s="543"/>
      <c r="CB39" s="543"/>
      <c r="CC39" s="543"/>
      <c r="CD39" s="543"/>
      <c r="CE39" s="543"/>
      <c r="CF39" s="543"/>
      <c r="CG39" s="543"/>
      <c r="CH39" s="543"/>
      <c r="CI39" s="543"/>
      <c r="CJ39" s="543"/>
      <c r="CK39" s="543"/>
      <c r="CL39" s="543"/>
      <c r="CM39" s="543"/>
      <c r="CN39" s="543"/>
      <c r="CO39" s="543"/>
      <c r="CP39" s="543"/>
      <c r="CQ39" s="543"/>
      <c r="CR39" s="543"/>
      <c r="CS39" s="543"/>
      <c r="CT39" s="543"/>
      <c r="CU39" s="543"/>
      <c r="CV39" s="543"/>
      <c r="CW39" s="543"/>
      <c r="CX39" s="543"/>
      <c r="CY39" s="543"/>
      <c r="CZ39" s="543"/>
      <c r="DA39" s="543"/>
      <c r="DB39" s="543"/>
      <c r="DC39" s="543"/>
      <c r="DD39" s="543"/>
      <c r="DE39" s="543"/>
      <c r="DF39" s="543"/>
      <c r="DG39" s="543"/>
      <c r="DH39" s="543"/>
      <c r="DI39" s="543"/>
      <c r="DJ39" s="543"/>
      <c r="DK39" s="543"/>
      <c r="DL39" s="543"/>
      <c r="DM39" s="543"/>
      <c r="DN39" s="543"/>
      <c r="DO39" s="543"/>
      <c r="DP39" s="543"/>
      <c r="DQ39" s="543"/>
      <c r="DR39" s="543"/>
      <c r="DS39" s="543"/>
      <c r="DT39" s="543"/>
      <c r="DU39" s="543"/>
      <c r="DV39" s="543"/>
      <c r="DW39" s="543"/>
      <c r="DX39" s="543"/>
      <c r="DY39" s="543"/>
      <c r="DZ39" s="543"/>
      <c r="EA39" s="543"/>
      <c r="EB39" s="543"/>
      <c r="EC39" s="543"/>
      <c r="ED39" s="543"/>
      <c r="EE39" s="543"/>
      <c r="EF39" s="543"/>
      <c r="EG39" s="543"/>
      <c r="EH39" s="543"/>
      <c r="EI39" s="543"/>
      <c r="EJ39" s="543"/>
      <c r="EK39" s="543"/>
      <c r="EL39" s="543"/>
      <c r="EM39" s="543"/>
      <c r="EN39" s="543"/>
      <c r="EO39" s="543"/>
      <c r="EP39" s="543"/>
      <c r="EQ39" s="543"/>
      <c r="ER39" s="543"/>
      <c r="ES39" s="543"/>
      <c r="ET39" s="543"/>
      <c r="EU39" s="543"/>
      <c r="EV39" s="543"/>
      <c r="EW39" s="543"/>
      <c r="EX39" s="543"/>
      <c r="EY39" s="543"/>
      <c r="EZ39" s="543"/>
      <c r="FA39" s="543"/>
      <c r="FB39" s="543"/>
      <c r="FC39" s="543"/>
      <c r="FD39" s="543"/>
      <c r="FE39" s="543"/>
      <c r="FF39" s="543"/>
      <c r="FG39" s="543"/>
      <c r="FH39" s="543"/>
      <c r="FI39" s="543"/>
      <c r="FJ39" s="543"/>
      <c r="FK39" s="543"/>
      <c r="FL39" s="543"/>
      <c r="FM39" s="543"/>
      <c r="FN39" s="543"/>
      <c r="FO39" s="543"/>
      <c r="FP39" s="543"/>
      <c r="FQ39" s="543"/>
      <c r="FR39" s="543"/>
      <c r="FS39" s="543"/>
      <c r="FT39" s="543"/>
      <c r="FU39" s="543"/>
      <c r="FV39" s="543"/>
      <c r="FW39" s="543"/>
      <c r="FX39" s="543"/>
      <c r="FY39" s="543"/>
      <c r="FZ39" s="543"/>
      <c r="GA39" s="543"/>
      <c r="GB39" s="543"/>
      <c r="GC39" s="543"/>
      <c r="GD39" s="543"/>
      <c r="GE39" s="543"/>
      <c r="GF39" s="543"/>
      <c r="GG39" s="543"/>
      <c r="GH39" s="543"/>
      <c r="GI39" s="543"/>
      <c r="GJ39" s="543"/>
      <c r="GK39" s="543"/>
      <c r="GL39" s="543"/>
      <c r="GM39" s="543"/>
      <c r="GN39" s="543"/>
      <c r="GO39" s="543"/>
      <c r="GP39" s="543"/>
      <c r="GQ39" s="543"/>
      <c r="GR39" s="543"/>
      <c r="GS39" s="543"/>
      <c r="GT39" s="543"/>
      <c r="GU39" s="543"/>
      <c r="GV39" s="543"/>
      <c r="GW39" s="543"/>
      <c r="GX39" s="543"/>
      <c r="GY39" s="543"/>
      <c r="GZ39" s="543"/>
      <c r="HA39" s="543"/>
      <c r="HB39" s="543"/>
      <c r="HC39" s="543"/>
      <c r="HD39" s="543"/>
      <c r="HE39" s="543"/>
      <c r="HF39" s="543"/>
      <c r="HG39" s="543"/>
      <c r="HH39" s="543"/>
      <c r="HI39" s="543"/>
      <c r="HJ39" s="543"/>
      <c r="HK39" s="543"/>
      <c r="HL39" s="543"/>
      <c r="HM39" s="543"/>
      <c r="HN39" s="543"/>
      <c r="HO39" s="543"/>
      <c r="HP39" s="543"/>
      <c r="HQ39" s="543"/>
      <c r="HR39" s="543"/>
      <c r="HS39" s="543"/>
      <c r="HT39" s="543"/>
      <c r="HU39" s="543"/>
      <c r="HV39" s="543"/>
      <c r="HW39" s="543"/>
      <c r="HX39" s="543"/>
      <c r="HY39" s="543"/>
      <c r="HZ39" s="543"/>
      <c r="IA39" s="543"/>
      <c r="IB39" s="543"/>
      <c r="IC39" s="543"/>
      <c r="ID39" s="543"/>
      <c r="IE39" s="543"/>
      <c r="IF39" s="543"/>
      <c r="IG39" s="543"/>
      <c r="IH39" s="543"/>
      <c r="II39" s="543"/>
      <c r="IJ39" s="543"/>
      <c r="IK39" s="543"/>
      <c r="IL39" s="543"/>
      <c r="IM39" s="543"/>
      <c r="IN39" s="543"/>
      <c r="IO39" s="543"/>
      <c r="IP39" s="543"/>
      <c r="IQ39" s="543"/>
      <c r="IR39" s="543"/>
      <c r="IS39" s="543"/>
      <c r="IT39" s="543"/>
      <c r="IU39" s="543"/>
    </row>
    <row r="40" spans="1:255" ht="14.25">
      <c r="A40" s="549" t="s">
        <v>27</v>
      </c>
      <c r="B40" s="2362" t="s">
        <v>48</v>
      </c>
      <c r="C40" s="2362"/>
      <c r="D40" s="2362"/>
      <c r="E40" s="2362"/>
      <c r="F40" s="2363"/>
      <c r="G40" s="544"/>
      <c r="H40" s="544"/>
      <c r="M40" s="544"/>
      <c r="N40" s="544"/>
      <c r="O40" s="544"/>
    </row>
    <row r="41" spans="1:255" ht="36">
      <c r="A41" s="549"/>
      <c r="B41" s="538" t="s">
        <v>76</v>
      </c>
      <c r="C41" s="2360"/>
      <c r="D41" s="2360"/>
      <c r="E41" s="2360"/>
      <c r="F41" s="2361"/>
      <c r="G41" s="544"/>
      <c r="H41" s="544"/>
      <c r="M41" s="544"/>
      <c r="N41" s="544"/>
      <c r="O41" s="544"/>
    </row>
    <row r="42" spans="1:255" ht="15">
      <c r="A42" s="556" t="s">
        <v>28</v>
      </c>
      <c r="B42" s="68" t="s">
        <v>273</v>
      </c>
      <c r="C42" s="95" t="s">
        <v>659</v>
      </c>
      <c r="D42" s="381">
        <v>6</v>
      </c>
      <c r="E42" s="399"/>
      <c r="F42" s="356">
        <f>(F7*2*'№1,6 Мобил., демоб  БУ'!P13+F7*2/35*'№1,6 Мобил., демоб  БУ'!L13)*D42</f>
        <v>0</v>
      </c>
      <c r="G42" s="544"/>
      <c r="H42" s="544"/>
      <c r="I42" s="526"/>
      <c r="J42" s="526"/>
      <c r="K42" s="526"/>
      <c r="L42" s="526"/>
      <c r="M42" s="559"/>
      <c r="N42" s="544"/>
      <c r="O42" s="544"/>
      <c r="P42" s="526"/>
      <c r="Q42" s="526"/>
      <c r="R42" s="526"/>
      <c r="S42" s="526"/>
      <c r="T42" s="526"/>
      <c r="U42" s="526"/>
      <c r="V42" s="526"/>
      <c r="W42" s="526"/>
      <c r="X42" s="526"/>
      <c r="Y42" s="526"/>
      <c r="Z42" s="526"/>
      <c r="AA42" s="526"/>
      <c r="AB42" s="526"/>
      <c r="AC42" s="526"/>
      <c r="AD42" s="526"/>
      <c r="AE42" s="526"/>
      <c r="AF42" s="526"/>
      <c r="AG42" s="526"/>
      <c r="AH42" s="526"/>
      <c r="AI42" s="526"/>
      <c r="AJ42" s="526"/>
      <c r="AK42" s="526"/>
      <c r="AL42" s="526"/>
      <c r="AM42" s="526"/>
      <c r="AN42" s="526"/>
      <c r="AO42" s="526"/>
      <c r="AP42" s="526"/>
      <c r="AQ42" s="526"/>
      <c r="AR42" s="526"/>
      <c r="AS42" s="526"/>
      <c r="AT42" s="526"/>
      <c r="AU42" s="526"/>
      <c r="AV42" s="526"/>
      <c r="AW42" s="526"/>
      <c r="AX42" s="526"/>
      <c r="AY42" s="526"/>
      <c r="AZ42" s="526"/>
      <c r="BA42" s="526"/>
      <c r="BB42" s="526"/>
      <c r="BC42" s="526"/>
      <c r="BD42" s="526"/>
      <c r="BE42" s="526"/>
      <c r="BF42" s="526"/>
      <c r="BG42" s="526"/>
      <c r="BH42" s="526"/>
      <c r="BI42" s="526"/>
      <c r="BJ42" s="526"/>
      <c r="BK42" s="526"/>
      <c r="BL42" s="526"/>
      <c r="BM42" s="526"/>
      <c r="BN42" s="526"/>
      <c r="BO42" s="526"/>
      <c r="BP42" s="526"/>
      <c r="BQ42" s="526"/>
      <c r="BR42" s="526"/>
      <c r="BS42" s="526"/>
      <c r="BT42" s="526"/>
      <c r="BU42" s="526"/>
      <c r="BV42" s="526"/>
      <c r="BW42" s="526"/>
      <c r="BX42" s="526"/>
      <c r="BY42" s="526"/>
      <c r="BZ42" s="526"/>
      <c r="CA42" s="526"/>
      <c r="CB42" s="526"/>
      <c r="CC42" s="526"/>
      <c r="CD42" s="526"/>
      <c r="CE42" s="526"/>
      <c r="CF42" s="526"/>
      <c r="CG42" s="526"/>
      <c r="CH42" s="526"/>
      <c r="CI42" s="526"/>
      <c r="CJ42" s="526"/>
      <c r="CK42" s="526"/>
      <c r="CL42" s="526"/>
      <c r="CM42" s="526"/>
      <c r="CN42" s="526"/>
      <c r="CO42" s="526"/>
      <c r="CP42" s="526"/>
      <c r="CQ42" s="526"/>
      <c r="CR42" s="526"/>
      <c r="CS42" s="526"/>
      <c r="CT42" s="526"/>
      <c r="CU42" s="526"/>
      <c r="CV42" s="526"/>
      <c r="CW42" s="526"/>
      <c r="CX42" s="526"/>
      <c r="CY42" s="526"/>
      <c r="CZ42" s="526"/>
      <c r="DA42" s="526"/>
      <c r="DB42" s="526"/>
      <c r="DC42" s="526"/>
      <c r="DD42" s="526"/>
      <c r="DE42" s="526"/>
      <c r="DF42" s="526"/>
      <c r="DG42" s="526"/>
      <c r="DH42" s="526"/>
      <c r="DI42" s="526"/>
      <c r="DJ42" s="526"/>
      <c r="DK42" s="526"/>
      <c r="DL42" s="526"/>
      <c r="DM42" s="526"/>
      <c r="DN42" s="526"/>
      <c r="DO42" s="526"/>
      <c r="DP42" s="526"/>
      <c r="DQ42" s="526"/>
      <c r="DR42" s="526"/>
      <c r="DS42" s="526"/>
      <c r="DT42" s="526"/>
      <c r="DU42" s="526"/>
      <c r="DV42" s="526"/>
      <c r="DW42" s="526"/>
      <c r="DX42" s="526"/>
      <c r="DY42" s="526"/>
      <c r="DZ42" s="526"/>
      <c r="EA42" s="526"/>
      <c r="EB42" s="526"/>
      <c r="EC42" s="526"/>
      <c r="ED42" s="526"/>
      <c r="EE42" s="526"/>
      <c r="EF42" s="526"/>
      <c r="EG42" s="526"/>
      <c r="EH42" s="526"/>
      <c r="EI42" s="526"/>
      <c r="EJ42" s="526"/>
      <c r="EK42" s="526"/>
      <c r="EL42" s="526"/>
      <c r="EM42" s="526"/>
      <c r="EN42" s="526"/>
      <c r="EO42" s="526"/>
      <c r="EP42" s="526"/>
      <c r="EQ42" s="526"/>
      <c r="ER42" s="526"/>
      <c r="ES42" s="526"/>
      <c r="ET42" s="526"/>
      <c r="EU42" s="526"/>
      <c r="EV42" s="526"/>
      <c r="EW42" s="526"/>
      <c r="EX42" s="526"/>
      <c r="EY42" s="526"/>
      <c r="EZ42" s="526"/>
      <c r="FA42" s="526"/>
      <c r="FB42" s="526"/>
      <c r="FC42" s="526"/>
      <c r="FD42" s="526"/>
      <c r="FE42" s="526"/>
      <c r="FF42" s="526"/>
      <c r="FG42" s="526"/>
      <c r="FH42" s="526"/>
      <c r="FI42" s="526"/>
      <c r="FJ42" s="526"/>
      <c r="FK42" s="526"/>
      <c r="FL42" s="526"/>
      <c r="FM42" s="526"/>
      <c r="FN42" s="526"/>
      <c r="FO42" s="526"/>
      <c r="FP42" s="526"/>
      <c r="FQ42" s="526"/>
      <c r="FR42" s="526"/>
      <c r="FS42" s="526"/>
      <c r="FT42" s="526"/>
      <c r="FU42" s="526"/>
      <c r="FV42" s="526"/>
      <c r="FW42" s="526"/>
      <c r="FX42" s="526"/>
      <c r="FY42" s="526"/>
      <c r="FZ42" s="526"/>
      <c r="GA42" s="526"/>
      <c r="GB42" s="526"/>
      <c r="GC42" s="526"/>
      <c r="GD42" s="526"/>
      <c r="GE42" s="526"/>
      <c r="GF42" s="526"/>
      <c r="GG42" s="526"/>
      <c r="GH42" s="526"/>
      <c r="GI42" s="526"/>
      <c r="GJ42" s="526"/>
      <c r="GK42" s="526"/>
      <c r="GL42" s="526"/>
      <c r="GM42" s="526"/>
      <c r="GN42" s="526"/>
      <c r="GO42" s="526"/>
      <c r="GP42" s="526"/>
      <c r="GQ42" s="526"/>
      <c r="GR42" s="526"/>
      <c r="GS42" s="526"/>
      <c r="GT42" s="526"/>
      <c r="GU42" s="526"/>
      <c r="GV42" s="526"/>
      <c r="GW42" s="526"/>
      <c r="GX42" s="526"/>
      <c r="GY42" s="526"/>
      <c r="GZ42" s="526"/>
      <c r="HA42" s="526"/>
      <c r="HB42" s="526"/>
      <c r="HC42" s="526"/>
      <c r="HD42" s="526"/>
      <c r="HE42" s="526"/>
      <c r="HF42" s="526"/>
      <c r="HG42" s="526"/>
      <c r="HH42" s="526"/>
      <c r="HI42" s="526"/>
      <c r="HJ42" s="526"/>
      <c r="HK42" s="526"/>
      <c r="HL42" s="526"/>
      <c r="HM42" s="526"/>
      <c r="HN42" s="526"/>
      <c r="HO42" s="526"/>
      <c r="HP42" s="526"/>
      <c r="HQ42" s="526"/>
      <c r="HR42" s="526"/>
      <c r="HS42" s="526"/>
      <c r="HT42" s="526"/>
      <c r="HU42" s="526"/>
      <c r="HV42" s="526"/>
      <c r="HW42" s="526"/>
      <c r="HX42" s="526"/>
      <c r="HY42" s="526"/>
      <c r="HZ42" s="526"/>
      <c r="IA42" s="526"/>
      <c r="IB42" s="526"/>
      <c r="IC42" s="526"/>
      <c r="ID42" s="526"/>
      <c r="IE42" s="526"/>
      <c r="IF42" s="526"/>
      <c r="IG42" s="526"/>
      <c r="IH42" s="526"/>
      <c r="II42" s="526"/>
      <c r="IJ42" s="526"/>
      <c r="IK42" s="526"/>
      <c r="IL42" s="526"/>
      <c r="IM42" s="526"/>
      <c r="IN42" s="526"/>
      <c r="IO42" s="526"/>
      <c r="IP42" s="526"/>
      <c r="IQ42" s="526"/>
      <c r="IR42" s="526"/>
      <c r="IS42" s="526"/>
      <c r="IT42" s="526"/>
      <c r="IU42" s="526"/>
    </row>
    <row r="43" spans="1:255" ht="15">
      <c r="A43" s="556" t="s">
        <v>29</v>
      </c>
      <c r="B43" s="68" t="s">
        <v>656</v>
      </c>
      <c r="C43" s="262" t="s">
        <v>163</v>
      </c>
      <c r="D43" s="381">
        <f>C7*11</f>
        <v>110</v>
      </c>
      <c r="E43" s="399">
        <f>'№5.1Демонтаж БУ'!E50</f>
        <v>0</v>
      </c>
      <c r="F43" s="289">
        <f>ROUND(D43*E43,2)</f>
        <v>0</v>
      </c>
      <c r="G43" s="544"/>
      <c r="H43" s="544"/>
      <c r="I43" s="526"/>
      <c r="J43" s="526"/>
      <c r="K43" s="526"/>
      <c r="L43" s="526"/>
      <c r="M43" s="559"/>
      <c r="N43" s="544"/>
      <c r="O43" s="544"/>
      <c r="P43" s="526"/>
      <c r="Q43" s="526"/>
      <c r="R43" s="526"/>
      <c r="S43" s="526"/>
      <c r="T43" s="526"/>
      <c r="U43" s="526"/>
      <c r="V43" s="526"/>
      <c r="W43" s="526"/>
      <c r="X43" s="526"/>
      <c r="Y43" s="526"/>
      <c r="Z43" s="526"/>
      <c r="AA43" s="526"/>
      <c r="AB43" s="526"/>
      <c r="AC43" s="526"/>
      <c r="AD43" s="526"/>
      <c r="AE43" s="526"/>
      <c r="AF43" s="526"/>
      <c r="AG43" s="526"/>
      <c r="AH43" s="526"/>
      <c r="AI43" s="526"/>
      <c r="AJ43" s="526"/>
      <c r="AK43" s="526"/>
      <c r="AL43" s="526"/>
      <c r="AM43" s="526"/>
      <c r="AN43" s="526"/>
      <c r="AO43" s="526"/>
      <c r="AP43" s="526"/>
      <c r="AQ43" s="526"/>
      <c r="AR43" s="526"/>
      <c r="AS43" s="526"/>
      <c r="AT43" s="526"/>
      <c r="AU43" s="526"/>
      <c r="AV43" s="526"/>
      <c r="AW43" s="526"/>
      <c r="AX43" s="526"/>
      <c r="AY43" s="526"/>
      <c r="AZ43" s="526"/>
      <c r="BA43" s="526"/>
      <c r="BB43" s="526"/>
      <c r="BC43" s="526"/>
      <c r="BD43" s="526"/>
      <c r="BE43" s="526"/>
      <c r="BF43" s="526"/>
      <c r="BG43" s="526"/>
      <c r="BH43" s="526"/>
      <c r="BI43" s="526"/>
      <c r="BJ43" s="526"/>
      <c r="BK43" s="526"/>
      <c r="BL43" s="526"/>
      <c r="BM43" s="526"/>
      <c r="BN43" s="526"/>
      <c r="BO43" s="526"/>
      <c r="BP43" s="526"/>
      <c r="BQ43" s="526"/>
      <c r="BR43" s="526"/>
      <c r="BS43" s="526"/>
      <c r="BT43" s="526"/>
      <c r="BU43" s="526"/>
      <c r="BV43" s="526"/>
      <c r="BW43" s="526"/>
      <c r="BX43" s="526"/>
      <c r="BY43" s="526"/>
      <c r="BZ43" s="526"/>
      <c r="CA43" s="526"/>
      <c r="CB43" s="526"/>
      <c r="CC43" s="526"/>
      <c r="CD43" s="526"/>
      <c r="CE43" s="526"/>
      <c r="CF43" s="526"/>
      <c r="CG43" s="526"/>
      <c r="CH43" s="526"/>
      <c r="CI43" s="526"/>
      <c r="CJ43" s="526"/>
      <c r="CK43" s="526"/>
      <c r="CL43" s="526"/>
      <c r="CM43" s="526"/>
      <c r="CN43" s="526"/>
      <c r="CO43" s="526"/>
      <c r="CP43" s="526"/>
      <c r="CQ43" s="526"/>
      <c r="CR43" s="526"/>
      <c r="CS43" s="526"/>
      <c r="CT43" s="526"/>
      <c r="CU43" s="526"/>
      <c r="CV43" s="526"/>
      <c r="CW43" s="526"/>
      <c r="CX43" s="526"/>
      <c r="CY43" s="526"/>
      <c r="CZ43" s="526"/>
      <c r="DA43" s="526"/>
      <c r="DB43" s="526"/>
      <c r="DC43" s="526"/>
      <c r="DD43" s="526"/>
      <c r="DE43" s="526"/>
      <c r="DF43" s="526"/>
      <c r="DG43" s="526"/>
      <c r="DH43" s="526"/>
      <c r="DI43" s="526"/>
      <c r="DJ43" s="526"/>
      <c r="DK43" s="526"/>
      <c r="DL43" s="526"/>
      <c r="DM43" s="526"/>
      <c r="DN43" s="526"/>
      <c r="DO43" s="526"/>
      <c r="DP43" s="526"/>
      <c r="DQ43" s="526"/>
      <c r="DR43" s="526"/>
      <c r="DS43" s="526"/>
      <c r="DT43" s="526"/>
      <c r="DU43" s="526"/>
      <c r="DV43" s="526"/>
      <c r="DW43" s="526"/>
      <c r="DX43" s="526"/>
      <c r="DY43" s="526"/>
      <c r="DZ43" s="526"/>
      <c r="EA43" s="526"/>
      <c r="EB43" s="526"/>
      <c r="EC43" s="526"/>
      <c r="ED43" s="526"/>
      <c r="EE43" s="526"/>
      <c r="EF43" s="526"/>
      <c r="EG43" s="526"/>
      <c r="EH43" s="526"/>
      <c r="EI43" s="526"/>
      <c r="EJ43" s="526"/>
      <c r="EK43" s="526"/>
      <c r="EL43" s="526"/>
      <c r="EM43" s="526"/>
      <c r="EN43" s="526"/>
      <c r="EO43" s="526"/>
      <c r="EP43" s="526"/>
      <c r="EQ43" s="526"/>
      <c r="ER43" s="526"/>
      <c r="ES43" s="526"/>
      <c r="ET43" s="526"/>
      <c r="EU43" s="526"/>
      <c r="EV43" s="526"/>
      <c r="EW43" s="526"/>
      <c r="EX43" s="526"/>
      <c r="EY43" s="526"/>
      <c r="EZ43" s="526"/>
      <c r="FA43" s="526"/>
      <c r="FB43" s="526"/>
      <c r="FC43" s="526"/>
      <c r="FD43" s="526"/>
      <c r="FE43" s="526"/>
      <c r="FF43" s="526"/>
      <c r="FG43" s="526"/>
      <c r="FH43" s="526"/>
      <c r="FI43" s="526"/>
      <c r="FJ43" s="526"/>
      <c r="FK43" s="526"/>
      <c r="FL43" s="526"/>
      <c r="FM43" s="526"/>
      <c r="FN43" s="526"/>
      <c r="FO43" s="526"/>
      <c r="FP43" s="526"/>
      <c r="FQ43" s="526"/>
      <c r="FR43" s="526"/>
      <c r="FS43" s="526"/>
      <c r="FT43" s="526"/>
      <c r="FU43" s="526"/>
      <c r="FV43" s="526"/>
      <c r="FW43" s="526"/>
      <c r="FX43" s="526"/>
      <c r="FY43" s="526"/>
      <c r="FZ43" s="526"/>
      <c r="GA43" s="526"/>
      <c r="GB43" s="526"/>
      <c r="GC43" s="526"/>
      <c r="GD43" s="526"/>
      <c r="GE43" s="526"/>
      <c r="GF43" s="526"/>
      <c r="GG43" s="526"/>
      <c r="GH43" s="526"/>
      <c r="GI43" s="526"/>
      <c r="GJ43" s="526"/>
      <c r="GK43" s="526"/>
      <c r="GL43" s="526"/>
      <c r="GM43" s="526"/>
      <c r="GN43" s="526"/>
      <c r="GO43" s="526"/>
      <c r="GP43" s="526"/>
      <c r="GQ43" s="526"/>
      <c r="GR43" s="526"/>
      <c r="GS43" s="526"/>
      <c r="GT43" s="526"/>
      <c r="GU43" s="526"/>
      <c r="GV43" s="526"/>
      <c r="GW43" s="526"/>
      <c r="GX43" s="526"/>
      <c r="GY43" s="526"/>
      <c r="GZ43" s="526"/>
      <c r="HA43" s="526"/>
      <c r="HB43" s="526"/>
      <c r="HC43" s="526"/>
      <c r="HD43" s="526"/>
      <c r="HE43" s="526"/>
      <c r="HF43" s="526"/>
      <c r="HG43" s="526"/>
      <c r="HH43" s="526"/>
      <c r="HI43" s="526"/>
      <c r="HJ43" s="526"/>
      <c r="HK43" s="526"/>
      <c r="HL43" s="526"/>
      <c r="HM43" s="526"/>
      <c r="HN43" s="526"/>
      <c r="HO43" s="526"/>
      <c r="HP43" s="526"/>
      <c r="HQ43" s="526"/>
      <c r="HR43" s="526"/>
      <c r="HS43" s="526"/>
      <c r="HT43" s="526"/>
      <c r="HU43" s="526"/>
      <c r="HV43" s="526"/>
      <c r="HW43" s="526"/>
      <c r="HX43" s="526"/>
      <c r="HY43" s="526"/>
      <c r="HZ43" s="526"/>
      <c r="IA43" s="526"/>
      <c r="IB43" s="526"/>
      <c r="IC43" s="526"/>
      <c r="ID43" s="526"/>
      <c r="IE43" s="526"/>
      <c r="IF43" s="526"/>
      <c r="IG43" s="526"/>
      <c r="IH43" s="526"/>
      <c r="II43" s="526"/>
      <c r="IJ43" s="526"/>
      <c r="IK43" s="526"/>
      <c r="IL43" s="526"/>
      <c r="IM43" s="526"/>
      <c r="IN43" s="526"/>
      <c r="IO43" s="526"/>
      <c r="IP43" s="526"/>
      <c r="IQ43" s="526"/>
      <c r="IR43" s="526"/>
      <c r="IS43" s="526"/>
      <c r="IT43" s="526"/>
      <c r="IU43" s="526"/>
    </row>
    <row r="44" spans="1:255" ht="15">
      <c r="A44" s="556" t="s">
        <v>305</v>
      </c>
      <c r="B44" s="68" t="s">
        <v>657</v>
      </c>
      <c r="C44" s="262" t="s">
        <v>163</v>
      </c>
      <c r="D44" s="381">
        <f>C7*11</f>
        <v>110</v>
      </c>
      <c r="E44" s="399">
        <f>'№2.1.Монтаж БУ'!F59</f>
        <v>0</v>
      </c>
      <c r="F44" s="289">
        <f>ROUND(D44*E44,2)</f>
        <v>0</v>
      </c>
      <c r="G44" s="544"/>
      <c r="H44" s="544"/>
      <c r="I44" s="526"/>
      <c r="J44" s="526"/>
      <c r="K44" s="526"/>
      <c r="L44" s="526"/>
      <c r="M44" s="559"/>
      <c r="N44" s="544"/>
      <c r="O44" s="544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526"/>
      <c r="AD44" s="526"/>
      <c r="AE44" s="526"/>
      <c r="AF44" s="526"/>
      <c r="AG44" s="526"/>
      <c r="AH44" s="526"/>
      <c r="AI44" s="526"/>
      <c r="AJ44" s="526"/>
      <c r="AK44" s="526"/>
      <c r="AL44" s="526"/>
      <c r="AM44" s="526"/>
      <c r="AN44" s="526"/>
      <c r="AO44" s="526"/>
      <c r="AP44" s="526"/>
      <c r="AQ44" s="526"/>
      <c r="AR44" s="526"/>
      <c r="AS44" s="526"/>
      <c r="AT44" s="526"/>
      <c r="AU44" s="526"/>
      <c r="AV44" s="526"/>
      <c r="AW44" s="526"/>
      <c r="AX44" s="526"/>
      <c r="AY44" s="526"/>
      <c r="AZ44" s="526"/>
      <c r="BA44" s="526"/>
      <c r="BB44" s="526"/>
      <c r="BC44" s="526"/>
      <c r="BD44" s="526"/>
      <c r="BE44" s="526"/>
      <c r="BF44" s="526"/>
      <c r="BG44" s="526"/>
      <c r="BH44" s="526"/>
      <c r="BI44" s="526"/>
      <c r="BJ44" s="526"/>
      <c r="BK44" s="526"/>
      <c r="BL44" s="526"/>
      <c r="BM44" s="526"/>
      <c r="BN44" s="526"/>
      <c r="BO44" s="526"/>
      <c r="BP44" s="526"/>
      <c r="BQ44" s="526"/>
      <c r="BR44" s="526"/>
      <c r="BS44" s="526"/>
      <c r="BT44" s="526"/>
      <c r="BU44" s="526"/>
      <c r="BV44" s="526"/>
      <c r="BW44" s="526"/>
      <c r="BX44" s="526"/>
      <c r="BY44" s="526"/>
      <c r="BZ44" s="526"/>
      <c r="CA44" s="526"/>
      <c r="CB44" s="526"/>
      <c r="CC44" s="526"/>
      <c r="CD44" s="526"/>
      <c r="CE44" s="526"/>
      <c r="CF44" s="526"/>
      <c r="CG44" s="526"/>
      <c r="CH44" s="526"/>
      <c r="CI44" s="526"/>
      <c r="CJ44" s="526"/>
      <c r="CK44" s="526"/>
      <c r="CL44" s="526"/>
      <c r="CM44" s="526"/>
      <c r="CN44" s="526"/>
      <c r="CO44" s="526"/>
      <c r="CP44" s="526"/>
      <c r="CQ44" s="526"/>
      <c r="CR44" s="526"/>
      <c r="CS44" s="526"/>
      <c r="CT44" s="526"/>
      <c r="CU44" s="526"/>
      <c r="CV44" s="526"/>
      <c r="CW44" s="526"/>
      <c r="CX44" s="526"/>
      <c r="CY44" s="526"/>
      <c r="CZ44" s="526"/>
      <c r="DA44" s="526"/>
      <c r="DB44" s="526"/>
      <c r="DC44" s="526"/>
      <c r="DD44" s="526"/>
      <c r="DE44" s="526"/>
      <c r="DF44" s="526"/>
      <c r="DG44" s="526"/>
      <c r="DH44" s="526"/>
      <c r="DI44" s="526"/>
      <c r="DJ44" s="526"/>
      <c r="DK44" s="526"/>
      <c r="DL44" s="526"/>
      <c r="DM44" s="526"/>
      <c r="DN44" s="526"/>
      <c r="DO44" s="526"/>
      <c r="DP44" s="526"/>
      <c r="DQ44" s="526"/>
      <c r="DR44" s="526"/>
      <c r="DS44" s="526"/>
      <c r="DT44" s="526"/>
      <c r="DU44" s="526"/>
      <c r="DV44" s="526"/>
      <c r="DW44" s="526"/>
      <c r="DX44" s="526"/>
      <c r="DY44" s="526"/>
      <c r="DZ44" s="526"/>
      <c r="EA44" s="526"/>
      <c r="EB44" s="526"/>
      <c r="EC44" s="526"/>
      <c r="ED44" s="526"/>
      <c r="EE44" s="526"/>
      <c r="EF44" s="526"/>
      <c r="EG44" s="526"/>
      <c r="EH44" s="526"/>
      <c r="EI44" s="526"/>
      <c r="EJ44" s="526"/>
      <c r="EK44" s="526"/>
      <c r="EL44" s="526"/>
      <c r="EM44" s="526"/>
      <c r="EN44" s="526"/>
      <c r="EO44" s="526"/>
      <c r="EP44" s="526"/>
      <c r="EQ44" s="526"/>
      <c r="ER44" s="526"/>
      <c r="ES44" s="526"/>
      <c r="ET44" s="526"/>
      <c r="EU44" s="526"/>
      <c r="EV44" s="526"/>
      <c r="EW44" s="526"/>
      <c r="EX44" s="526"/>
      <c r="EY44" s="526"/>
      <c r="EZ44" s="526"/>
      <c r="FA44" s="526"/>
      <c r="FB44" s="526"/>
      <c r="FC44" s="526"/>
      <c r="FD44" s="526"/>
      <c r="FE44" s="526"/>
      <c r="FF44" s="526"/>
      <c r="FG44" s="526"/>
      <c r="FH44" s="526"/>
      <c r="FI44" s="526"/>
      <c r="FJ44" s="526"/>
      <c r="FK44" s="526"/>
      <c r="FL44" s="526"/>
      <c r="FM44" s="526"/>
      <c r="FN44" s="526"/>
      <c r="FO44" s="526"/>
      <c r="FP44" s="526"/>
      <c r="FQ44" s="526"/>
      <c r="FR44" s="526"/>
      <c r="FS44" s="526"/>
      <c r="FT44" s="526"/>
      <c r="FU44" s="526"/>
      <c r="FV44" s="526"/>
      <c r="FW44" s="526"/>
      <c r="FX44" s="526"/>
      <c r="FY44" s="526"/>
      <c r="FZ44" s="526"/>
      <c r="GA44" s="526"/>
      <c r="GB44" s="526"/>
      <c r="GC44" s="526"/>
      <c r="GD44" s="526"/>
      <c r="GE44" s="526"/>
      <c r="GF44" s="526"/>
      <c r="GG44" s="526"/>
      <c r="GH44" s="526"/>
      <c r="GI44" s="526"/>
      <c r="GJ44" s="526"/>
      <c r="GK44" s="526"/>
      <c r="GL44" s="526"/>
      <c r="GM44" s="526"/>
      <c r="GN44" s="526"/>
      <c r="GO44" s="526"/>
      <c r="GP44" s="526"/>
      <c r="GQ44" s="526"/>
      <c r="GR44" s="526"/>
      <c r="GS44" s="526"/>
      <c r="GT44" s="526"/>
      <c r="GU44" s="526"/>
      <c r="GV44" s="526"/>
      <c r="GW44" s="526"/>
      <c r="GX44" s="526"/>
      <c r="GY44" s="526"/>
      <c r="GZ44" s="526"/>
      <c r="HA44" s="526"/>
      <c r="HB44" s="526"/>
      <c r="HC44" s="526"/>
      <c r="HD44" s="526"/>
      <c r="HE44" s="526"/>
      <c r="HF44" s="526"/>
      <c r="HG44" s="526"/>
      <c r="HH44" s="526"/>
      <c r="HI44" s="526"/>
      <c r="HJ44" s="526"/>
      <c r="HK44" s="526"/>
      <c r="HL44" s="526"/>
      <c r="HM44" s="526"/>
      <c r="HN44" s="526"/>
      <c r="HO44" s="526"/>
      <c r="HP44" s="526"/>
      <c r="HQ44" s="526"/>
      <c r="HR44" s="526"/>
      <c r="HS44" s="526"/>
      <c r="HT44" s="526"/>
      <c r="HU44" s="526"/>
      <c r="HV44" s="526"/>
      <c r="HW44" s="526"/>
      <c r="HX44" s="526"/>
      <c r="HY44" s="526"/>
      <c r="HZ44" s="526"/>
      <c r="IA44" s="526"/>
      <c r="IB44" s="526"/>
      <c r="IC44" s="526"/>
      <c r="ID44" s="526"/>
      <c r="IE44" s="526"/>
      <c r="IF44" s="526"/>
      <c r="IG44" s="526"/>
      <c r="IH44" s="526"/>
      <c r="II44" s="526"/>
      <c r="IJ44" s="526"/>
      <c r="IK44" s="526"/>
      <c r="IL44" s="526"/>
      <c r="IM44" s="526"/>
      <c r="IN44" s="526"/>
      <c r="IO44" s="526"/>
      <c r="IP44" s="526"/>
      <c r="IQ44" s="526"/>
      <c r="IR44" s="526"/>
      <c r="IS44" s="526"/>
      <c r="IT44" s="526"/>
      <c r="IU44" s="526"/>
    </row>
    <row r="45" spans="1:255" ht="15">
      <c r="A45" s="556" t="s">
        <v>306</v>
      </c>
      <c r="B45" s="68" t="s">
        <v>657</v>
      </c>
      <c r="C45" s="262" t="s">
        <v>163</v>
      </c>
      <c r="D45" s="381">
        <f>C7*11</f>
        <v>110</v>
      </c>
      <c r="E45" s="399">
        <f>E44</f>
        <v>0</v>
      </c>
      <c r="F45" s="289">
        <f>ROUND(D45*E45,2)</f>
        <v>0</v>
      </c>
      <c r="G45" s="544"/>
      <c r="H45" s="544"/>
      <c r="I45" s="526"/>
      <c r="J45" s="526"/>
      <c r="K45" s="526"/>
      <c r="L45" s="526"/>
      <c r="M45" s="559"/>
      <c r="N45" s="544"/>
      <c r="O45" s="544"/>
      <c r="P45" s="526"/>
      <c r="Q45" s="526"/>
      <c r="R45" s="526"/>
      <c r="S45" s="526"/>
      <c r="T45" s="526"/>
      <c r="U45" s="526"/>
      <c r="V45" s="526"/>
      <c r="W45" s="526"/>
      <c r="X45" s="526"/>
      <c r="Y45" s="526"/>
      <c r="Z45" s="526"/>
      <c r="AA45" s="526"/>
      <c r="AB45" s="526"/>
      <c r="AC45" s="526"/>
      <c r="AD45" s="526"/>
      <c r="AE45" s="526"/>
      <c r="AF45" s="526"/>
      <c r="AG45" s="526"/>
      <c r="AH45" s="526"/>
      <c r="AI45" s="526"/>
      <c r="AJ45" s="526"/>
      <c r="AK45" s="526"/>
      <c r="AL45" s="526"/>
      <c r="AM45" s="526"/>
      <c r="AN45" s="526"/>
      <c r="AO45" s="526"/>
      <c r="AP45" s="526"/>
      <c r="AQ45" s="526"/>
      <c r="AR45" s="526"/>
      <c r="AS45" s="526"/>
      <c r="AT45" s="526"/>
      <c r="AU45" s="526"/>
      <c r="AV45" s="526"/>
      <c r="AW45" s="526"/>
      <c r="AX45" s="526"/>
      <c r="AY45" s="526"/>
      <c r="AZ45" s="526"/>
      <c r="BA45" s="526"/>
      <c r="BB45" s="526"/>
      <c r="BC45" s="526"/>
      <c r="BD45" s="526"/>
      <c r="BE45" s="526"/>
      <c r="BF45" s="526"/>
      <c r="BG45" s="526"/>
      <c r="BH45" s="526"/>
      <c r="BI45" s="526"/>
      <c r="BJ45" s="526"/>
      <c r="BK45" s="526"/>
      <c r="BL45" s="526"/>
      <c r="BM45" s="526"/>
      <c r="BN45" s="526"/>
      <c r="BO45" s="526"/>
      <c r="BP45" s="526"/>
      <c r="BQ45" s="526"/>
      <c r="BR45" s="526"/>
      <c r="BS45" s="526"/>
      <c r="BT45" s="526"/>
      <c r="BU45" s="526"/>
      <c r="BV45" s="526"/>
      <c r="BW45" s="526"/>
      <c r="BX45" s="526"/>
      <c r="BY45" s="526"/>
      <c r="BZ45" s="526"/>
      <c r="CA45" s="526"/>
      <c r="CB45" s="526"/>
      <c r="CC45" s="526"/>
      <c r="CD45" s="526"/>
      <c r="CE45" s="526"/>
      <c r="CF45" s="526"/>
      <c r="CG45" s="526"/>
      <c r="CH45" s="526"/>
      <c r="CI45" s="526"/>
      <c r="CJ45" s="526"/>
      <c r="CK45" s="526"/>
      <c r="CL45" s="526"/>
      <c r="CM45" s="526"/>
      <c r="CN45" s="526"/>
      <c r="CO45" s="526"/>
      <c r="CP45" s="526"/>
      <c r="CQ45" s="526"/>
      <c r="CR45" s="526"/>
      <c r="CS45" s="526"/>
      <c r="CT45" s="526"/>
      <c r="CU45" s="526"/>
      <c r="CV45" s="526"/>
      <c r="CW45" s="526"/>
      <c r="CX45" s="526"/>
      <c r="CY45" s="526"/>
      <c r="CZ45" s="526"/>
      <c r="DA45" s="526"/>
      <c r="DB45" s="526"/>
      <c r="DC45" s="526"/>
      <c r="DD45" s="526"/>
      <c r="DE45" s="526"/>
      <c r="DF45" s="526"/>
      <c r="DG45" s="526"/>
      <c r="DH45" s="526"/>
      <c r="DI45" s="526"/>
      <c r="DJ45" s="526"/>
      <c r="DK45" s="526"/>
      <c r="DL45" s="526"/>
      <c r="DM45" s="526"/>
      <c r="DN45" s="526"/>
      <c r="DO45" s="526"/>
      <c r="DP45" s="526"/>
      <c r="DQ45" s="526"/>
      <c r="DR45" s="526"/>
      <c r="DS45" s="526"/>
      <c r="DT45" s="526"/>
      <c r="DU45" s="526"/>
      <c r="DV45" s="526"/>
      <c r="DW45" s="526"/>
      <c r="DX45" s="526"/>
      <c r="DY45" s="526"/>
      <c r="DZ45" s="526"/>
      <c r="EA45" s="526"/>
      <c r="EB45" s="526"/>
      <c r="EC45" s="526"/>
      <c r="ED45" s="526"/>
      <c r="EE45" s="526"/>
      <c r="EF45" s="526"/>
      <c r="EG45" s="526"/>
      <c r="EH45" s="526"/>
      <c r="EI45" s="526"/>
      <c r="EJ45" s="526"/>
      <c r="EK45" s="526"/>
      <c r="EL45" s="526"/>
      <c r="EM45" s="526"/>
      <c r="EN45" s="526"/>
      <c r="EO45" s="526"/>
      <c r="EP45" s="526"/>
      <c r="EQ45" s="526"/>
      <c r="ER45" s="526"/>
      <c r="ES45" s="526"/>
      <c r="ET45" s="526"/>
      <c r="EU45" s="526"/>
      <c r="EV45" s="526"/>
      <c r="EW45" s="526"/>
      <c r="EX45" s="526"/>
      <c r="EY45" s="526"/>
      <c r="EZ45" s="526"/>
      <c r="FA45" s="526"/>
      <c r="FB45" s="526"/>
      <c r="FC45" s="526"/>
      <c r="FD45" s="526"/>
      <c r="FE45" s="526"/>
      <c r="FF45" s="526"/>
      <c r="FG45" s="526"/>
      <c r="FH45" s="526"/>
      <c r="FI45" s="526"/>
      <c r="FJ45" s="526"/>
      <c r="FK45" s="526"/>
      <c r="FL45" s="526"/>
      <c r="FM45" s="526"/>
      <c r="FN45" s="526"/>
      <c r="FO45" s="526"/>
      <c r="FP45" s="526"/>
      <c r="FQ45" s="526"/>
      <c r="FR45" s="526"/>
      <c r="FS45" s="526"/>
      <c r="FT45" s="526"/>
      <c r="FU45" s="526"/>
      <c r="FV45" s="526"/>
      <c r="FW45" s="526"/>
      <c r="FX45" s="526"/>
      <c r="FY45" s="526"/>
      <c r="FZ45" s="526"/>
      <c r="GA45" s="526"/>
      <c r="GB45" s="526"/>
      <c r="GC45" s="526"/>
      <c r="GD45" s="526"/>
      <c r="GE45" s="526"/>
      <c r="GF45" s="526"/>
      <c r="GG45" s="526"/>
      <c r="GH45" s="526"/>
      <c r="GI45" s="526"/>
      <c r="GJ45" s="526"/>
      <c r="GK45" s="526"/>
      <c r="GL45" s="526"/>
      <c r="GM45" s="526"/>
      <c r="GN45" s="526"/>
      <c r="GO45" s="526"/>
      <c r="GP45" s="526"/>
      <c r="GQ45" s="526"/>
      <c r="GR45" s="526"/>
      <c r="GS45" s="526"/>
      <c r="GT45" s="526"/>
      <c r="GU45" s="526"/>
      <c r="GV45" s="526"/>
      <c r="GW45" s="526"/>
      <c r="GX45" s="526"/>
      <c r="GY45" s="526"/>
      <c r="GZ45" s="526"/>
      <c r="HA45" s="526"/>
      <c r="HB45" s="526"/>
      <c r="HC45" s="526"/>
      <c r="HD45" s="526"/>
      <c r="HE45" s="526"/>
      <c r="HF45" s="526"/>
      <c r="HG45" s="526"/>
      <c r="HH45" s="526"/>
      <c r="HI45" s="526"/>
      <c r="HJ45" s="526"/>
      <c r="HK45" s="526"/>
      <c r="HL45" s="526"/>
      <c r="HM45" s="526"/>
      <c r="HN45" s="526"/>
      <c r="HO45" s="526"/>
      <c r="HP45" s="526"/>
      <c r="HQ45" s="526"/>
      <c r="HR45" s="526"/>
      <c r="HS45" s="526"/>
      <c r="HT45" s="526"/>
      <c r="HU45" s="526"/>
      <c r="HV45" s="526"/>
      <c r="HW45" s="526"/>
      <c r="HX45" s="526"/>
      <c r="HY45" s="526"/>
      <c r="HZ45" s="526"/>
      <c r="IA45" s="526"/>
      <c r="IB45" s="526"/>
      <c r="IC45" s="526"/>
      <c r="ID45" s="526"/>
      <c r="IE45" s="526"/>
      <c r="IF45" s="526"/>
      <c r="IG45" s="526"/>
      <c r="IH45" s="526"/>
      <c r="II45" s="526"/>
      <c r="IJ45" s="526"/>
      <c r="IK45" s="526"/>
      <c r="IL45" s="526"/>
      <c r="IM45" s="526"/>
      <c r="IN45" s="526"/>
      <c r="IO45" s="526"/>
      <c r="IP45" s="526"/>
      <c r="IQ45" s="526"/>
      <c r="IR45" s="526"/>
      <c r="IS45" s="526"/>
      <c r="IT45" s="526"/>
      <c r="IU45" s="526"/>
    </row>
    <row r="46" spans="1:255" ht="15">
      <c r="A46" s="556" t="s">
        <v>307</v>
      </c>
      <c r="B46" s="68" t="s">
        <v>661</v>
      </c>
      <c r="C46" s="95" t="s">
        <v>659</v>
      </c>
      <c r="D46" s="909">
        <f>C7/7</f>
        <v>1.4285714285714286</v>
      </c>
      <c r="E46" s="399"/>
      <c r="F46" s="356">
        <f>(F7*2*'№1,6 Мобил., демоб  БУ'!P18+F7*2/35*'№1,6 Мобил., демоб  БУ'!L18)*D46</f>
        <v>0</v>
      </c>
      <c r="G46" s="544"/>
      <c r="H46" s="544"/>
      <c r="I46" s="526"/>
      <c r="J46" s="526"/>
      <c r="K46" s="526"/>
      <c r="L46" s="526"/>
      <c r="M46" s="559"/>
      <c r="N46" s="544"/>
      <c r="O46" s="544"/>
      <c r="P46" s="526"/>
      <c r="Q46" s="526"/>
      <c r="R46" s="526"/>
      <c r="S46" s="526"/>
      <c r="T46" s="526"/>
      <c r="U46" s="526"/>
      <c r="V46" s="526"/>
      <c r="W46" s="526"/>
      <c r="X46" s="526"/>
      <c r="Y46" s="526"/>
      <c r="Z46" s="526"/>
      <c r="AA46" s="526"/>
      <c r="AB46" s="526"/>
      <c r="AC46" s="526"/>
      <c r="AD46" s="526"/>
      <c r="AE46" s="526"/>
      <c r="AF46" s="526"/>
      <c r="AG46" s="526"/>
      <c r="AH46" s="526"/>
      <c r="AI46" s="526"/>
      <c r="AJ46" s="526"/>
      <c r="AK46" s="526"/>
      <c r="AL46" s="526"/>
      <c r="AM46" s="526"/>
      <c r="AN46" s="526"/>
      <c r="AO46" s="526"/>
      <c r="AP46" s="526"/>
      <c r="AQ46" s="526"/>
      <c r="AR46" s="526"/>
      <c r="AS46" s="526"/>
      <c r="AT46" s="526"/>
      <c r="AU46" s="526"/>
      <c r="AV46" s="526"/>
      <c r="AW46" s="526"/>
      <c r="AX46" s="526"/>
      <c r="AY46" s="526"/>
      <c r="AZ46" s="526"/>
      <c r="BA46" s="526"/>
      <c r="BB46" s="526"/>
      <c r="BC46" s="526"/>
      <c r="BD46" s="526"/>
      <c r="BE46" s="526"/>
      <c r="BF46" s="526"/>
      <c r="BG46" s="526"/>
      <c r="BH46" s="526"/>
      <c r="BI46" s="526"/>
      <c r="BJ46" s="526"/>
      <c r="BK46" s="526"/>
      <c r="BL46" s="526"/>
      <c r="BM46" s="526"/>
      <c r="BN46" s="526"/>
      <c r="BO46" s="526"/>
      <c r="BP46" s="526"/>
      <c r="BQ46" s="526"/>
      <c r="BR46" s="526"/>
      <c r="BS46" s="526"/>
      <c r="BT46" s="526"/>
      <c r="BU46" s="526"/>
      <c r="BV46" s="526"/>
      <c r="BW46" s="526"/>
      <c r="BX46" s="526"/>
      <c r="BY46" s="526"/>
      <c r="BZ46" s="526"/>
      <c r="CA46" s="526"/>
      <c r="CB46" s="526"/>
      <c r="CC46" s="526"/>
      <c r="CD46" s="526"/>
      <c r="CE46" s="526"/>
      <c r="CF46" s="526"/>
      <c r="CG46" s="526"/>
      <c r="CH46" s="526"/>
      <c r="CI46" s="526"/>
      <c r="CJ46" s="526"/>
      <c r="CK46" s="526"/>
      <c r="CL46" s="526"/>
      <c r="CM46" s="526"/>
      <c r="CN46" s="526"/>
      <c r="CO46" s="526"/>
      <c r="CP46" s="526"/>
      <c r="CQ46" s="526"/>
      <c r="CR46" s="526"/>
      <c r="CS46" s="526"/>
      <c r="CT46" s="526"/>
      <c r="CU46" s="526"/>
      <c r="CV46" s="526"/>
      <c r="CW46" s="526"/>
      <c r="CX46" s="526"/>
      <c r="CY46" s="526"/>
      <c r="CZ46" s="526"/>
      <c r="DA46" s="526"/>
      <c r="DB46" s="526"/>
      <c r="DC46" s="526"/>
      <c r="DD46" s="526"/>
      <c r="DE46" s="526"/>
      <c r="DF46" s="526"/>
      <c r="DG46" s="526"/>
      <c r="DH46" s="526"/>
      <c r="DI46" s="526"/>
      <c r="DJ46" s="526"/>
      <c r="DK46" s="526"/>
      <c r="DL46" s="526"/>
      <c r="DM46" s="526"/>
      <c r="DN46" s="526"/>
      <c r="DO46" s="526"/>
      <c r="DP46" s="526"/>
      <c r="DQ46" s="526"/>
      <c r="DR46" s="526"/>
      <c r="DS46" s="526"/>
      <c r="DT46" s="526"/>
      <c r="DU46" s="526"/>
      <c r="DV46" s="526"/>
      <c r="DW46" s="526"/>
      <c r="DX46" s="526"/>
      <c r="DY46" s="526"/>
      <c r="DZ46" s="526"/>
      <c r="EA46" s="526"/>
      <c r="EB46" s="526"/>
      <c r="EC46" s="526"/>
      <c r="ED46" s="526"/>
      <c r="EE46" s="526"/>
      <c r="EF46" s="526"/>
      <c r="EG46" s="526"/>
      <c r="EH46" s="526"/>
      <c r="EI46" s="526"/>
      <c r="EJ46" s="526"/>
      <c r="EK46" s="526"/>
      <c r="EL46" s="526"/>
      <c r="EM46" s="526"/>
      <c r="EN46" s="526"/>
      <c r="EO46" s="526"/>
      <c r="EP46" s="526"/>
      <c r="EQ46" s="526"/>
      <c r="ER46" s="526"/>
      <c r="ES46" s="526"/>
      <c r="ET46" s="526"/>
      <c r="EU46" s="526"/>
      <c r="EV46" s="526"/>
      <c r="EW46" s="526"/>
      <c r="EX46" s="526"/>
      <c r="EY46" s="526"/>
      <c r="EZ46" s="526"/>
      <c r="FA46" s="526"/>
      <c r="FB46" s="526"/>
      <c r="FC46" s="526"/>
      <c r="FD46" s="526"/>
      <c r="FE46" s="526"/>
      <c r="FF46" s="526"/>
      <c r="FG46" s="526"/>
      <c r="FH46" s="526"/>
      <c r="FI46" s="526"/>
      <c r="FJ46" s="526"/>
      <c r="FK46" s="526"/>
      <c r="FL46" s="526"/>
      <c r="FM46" s="526"/>
      <c r="FN46" s="526"/>
      <c r="FO46" s="526"/>
      <c r="FP46" s="526"/>
      <c r="FQ46" s="526"/>
      <c r="FR46" s="526"/>
      <c r="FS46" s="526"/>
      <c r="FT46" s="526"/>
      <c r="FU46" s="526"/>
      <c r="FV46" s="526"/>
      <c r="FW46" s="526"/>
      <c r="FX46" s="526"/>
      <c r="FY46" s="526"/>
      <c r="FZ46" s="526"/>
      <c r="GA46" s="526"/>
      <c r="GB46" s="526"/>
      <c r="GC46" s="526"/>
      <c r="GD46" s="526"/>
      <c r="GE46" s="526"/>
      <c r="GF46" s="526"/>
      <c r="GG46" s="526"/>
      <c r="GH46" s="526"/>
      <c r="GI46" s="526"/>
      <c r="GJ46" s="526"/>
      <c r="GK46" s="526"/>
      <c r="GL46" s="526"/>
      <c r="GM46" s="526"/>
      <c r="GN46" s="526"/>
      <c r="GO46" s="526"/>
      <c r="GP46" s="526"/>
      <c r="GQ46" s="526"/>
      <c r="GR46" s="526"/>
      <c r="GS46" s="526"/>
      <c r="GT46" s="526"/>
      <c r="GU46" s="526"/>
      <c r="GV46" s="526"/>
      <c r="GW46" s="526"/>
      <c r="GX46" s="526"/>
      <c r="GY46" s="526"/>
      <c r="GZ46" s="526"/>
      <c r="HA46" s="526"/>
      <c r="HB46" s="526"/>
      <c r="HC46" s="526"/>
      <c r="HD46" s="526"/>
      <c r="HE46" s="526"/>
      <c r="HF46" s="526"/>
      <c r="HG46" s="526"/>
      <c r="HH46" s="526"/>
      <c r="HI46" s="526"/>
      <c r="HJ46" s="526"/>
      <c r="HK46" s="526"/>
      <c r="HL46" s="526"/>
      <c r="HM46" s="526"/>
      <c r="HN46" s="526"/>
      <c r="HO46" s="526"/>
      <c r="HP46" s="526"/>
      <c r="HQ46" s="526"/>
      <c r="HR46" s="526"/>
      <c r="HS46" s="526"/>
      <c r="HT46" s="526"/>
      <c r="HU46" s="526"/>
      <c r="HV46" s="526"/>
      <c r="HW46" s="526"/>
      <c r="HX46" s="526"/>
      <c r="HY46" s="526"/>
      <c r="HZ46" s="526"/>
      <c r="IA46" s="526"/>
      <c r="IB46" s="526"/>
      <c r="IC46" s="526"/>
      <c r="ID46" s="526"/>
      <c r="IE46" s="526"/>
      <c r="IF46" s="526"/>
      <c r="IG46" s="526"/>
      <c r="IH46" s="526"/>
      <c r="II46" s="526"/>
      <c r="IJ46" s="526"/>
      <c r="IK46" s="526"/>
      <c r="IL46" s="526"/>
      <c r="IM46" s="526"/>
      <c r="IN46" s="526"/>
      <c r="IO46" s="526"/>
      <c r="IP46" s="526"/>
      <c r="IQ46" s="526"/>
      <c r="IR46" s="526"/>
      <c r="IS46" s="526"/>
      <c r="IT46" s="526"/>
      <c r="IU46" s="526"/>
    </row>
    <row r="47" spans="1:255" ht="15">
      <c r="A47" s="556" t="s">
        <v>308</v>
      </c>
      <c r="B47" s="68" t="s">
        <v>615</v>
      </c>
      <c r="C47" s="95" t="s">
        <v>659</v>
      </c>
      <c r="D47" s="909">
        <f>C7/7</f>
        <v>1.4285714285714286</v>
      </c>
      <c r="E47" s="399"/>
      <c r="F47" s="356">
        <f>(F7*2*'№1,6 Мобил., демоб  БУ'!P19+F7*2/35*'№1,6 Мобил., демоб  БУ'!L19)*D47</f>
        <v>0</v>
      </c>
      <c r="G47" s="544"/>
      <c r="H47" s="544"/>
      <c r="I47" s="526"/>
      <c r="J47" s="526"/>
      <c r="K47" s="526"/>
      <c r="L47" s="526"/>
      <c r="M47" s="559"/>
      <c r="N47" s="544"/>
      <c r="O47" s="544"/>
      <c r="P47" s="526"/>
      <c r="Q47" s="526"/>
      <c r="R47" s="526"/>
      <c r="S47" s="526"/>
      <c r="T47" s="526"/>
      <c r="U47" s="526"/>
      <c r="V47" s="526"/>
      <c r="W47" s="526"/>
      <c r="X47" s="526"/>
      <c r="Y47" s="526"/>
      <c r="Z47" s="526"/>
      <c r="AA47" s="526"/>
      <c r="AB47" s="526"/>
      <c r="AC47" s="526"/>
      <c r="AD47" s="526"/>
      <c r="AE47" s="526"/>
      <c r="AF47" s="526"/>
      <c r="AG47" s="526"/>
      <c r="AH47" s="526"/>
      <c r="AI47" s="526"/>
      <c r="AJ47" s="526"/>
      <c r="AK47" s="526"/>
      <c r="AL47" s="526"/>
      <c r="AM47" s="526"/>
      <c r="AN47" s="526"/>
      <c r="AO47" s="526"/>
      <c r="AP47" s="526"/>
      <c r="AQ47" s="526"/>
      <c r="AR47" s="526"/>
      <c r="AS47" s="526"/>
      <c r="AT47" s="526"/>
      <c r="AU47" s="526"/>
      <c r="AV47" s="526"/>
      <c r="AW47" s="526"/>
      <c r="AX47" s="526"/>
      <c r="AY47" s="526"/>
      <c r="AZ47" s="526"/>
      <c r="BA47" s="526"/>
      <c r="BB47" s="526"/>
      <c r="BC47" s="526"/>
      <c r="BD47" s="526"/>
      <c r="BE47" s="526"/>
      <c r="BF47" s="526"/>
      <c r="BG47" s="526"/>
      <c r="BH47" s="526"/>
      <c r="BI47" s="526"/>
      <c r="BJ47" s="526"/>
      <c r="BK47" s="526"/>
      <c r="BL47" s="526"/>
      <c r="BM47" s="526"/>
      <c r="BN47" s="526"/>
      <c r="BO47" s="526"/>
      <c r="BP47" s="526"/>
      <c r="BQ47" s="526"/>
      <c r="BR47" s="526"/>
      <c r="BS47" s="526"/>
      <c r="BT47" s="526"/>
      <c r="BU47" s="526"/>
      <c r="BV47" s="526"/>
      <c r="BW47" s="526"/>
      <c r="BX47" s="526"/>
      <c r="BY47" s="526"/>
      <c r="BZ47" s="526"/>
      <c r="CA47" s="526"/>
      <c r="CB47" s="526"/>
      <c r="CC47" s="526"/>
      <c r="CD47" s="526"/>
      <c r="CE47" s="526"/>
      <c r="CF47" s="526"/>
      <c r="CG47" s="526"/>
      <c r="CH47" s="526"/>
      <c r="CI47" s="526"/>
      <c r="CJ47" s="526"/>
      <c r="CK47" s="526"/>
      <c r="CL47" s="526"/>
      <c r="CM47" s="526"/>
      <c r="CN47" s="526"/>
      <c r="CO47" s="526"/>
      <c r="CP47" s="526"/>
      <c r="CQ47" s="526"/>
      <c r="CR47" s="526"/>
      <c r="CS47" s="526"/>
      <c r="CT47" s="526"/>
      <c r="CU47" s="526"/>
      <c r="CV47" s="526"/>
      <c r="CW47" s="526"/>
      <c r="CX47" s="526"/>
      <c r="CY47" s="526"/>
      <c r="CZ47" s="526"/>
      <c r="DA47" s="526"/>
      <c r="DB47" s="526"/>
      <c r="DC47" s="526"/>
      <c r="DD47" s="526"/>
      <c r="DE47" s="526"/>
      <c r="DF47" s="526"/>
      <c r="DG47" s="526"/>
      <c r="DH47" s="526"/>
      <c r="DI47" s="526"/>
      <c r="DJ47" s="526"/>
      <c r="DK47" s="526"/>
      <c r="DL47" s="526"/>
      <c r="DM47" s="526"/>
      <c r="DN47" s="526"/>
      <c r="DO47" s="526"/>
      <c r="DP47" s="526"/>
      <c r="DQ47" s="526"/>
      <c r="DR47" s="526"/>
      <c r="DS47" s="526"/>
      <c r="DT47" s="526"/>
      <c r="DU47" s="526"/>
      <c r="DV47" s="526"/>
      <c r="DW47" s="526"/>
      <c r="DX47" s="526"/>
      <c r="DY47" s="526"/>
      <c r="DZ47" s="526"/>
      <c r="EA47" s="526"/>
      <c r="EB47" s="526"/>
      <c r="EC47" s="526"/>
      <c r="ED47" s="526"/>
      <c r="EE47" s="526"/>
      <c r="EF47" s="526"/>
      <c r="EG47" s="526"/>
      <c r="EH47" s="526"/>
      <c r="EI47" s="526"/>
      <c r="EJ47" s="526"/>
      <c r="EK47" s="526"/>
      <c r="EL47" s="526"/>
      <c r="EM47" s="526"/>
      <c r="EN47" s="526"/>
      <c r="EO47" s="526"/>
      <c r="EP47" s="526"/>
      <c r="EQ47" s="526"/>
      <c r="ER47" s="526"/>
      <c r="ES47" s="526"/>
      <c r="ET47" s="526"/>
      <c r="EU47" s="526"/>
      <c r="EV47" s="526"/>
      <c r="EW47" s="526"/>
      <c r="EX47" s="526"/>
      <c r="EY47" s="526"/>
      <c r="EZ47" s="526"/>
      <c r="FA47" s="526"/>
      <c r="FB47" s="526"/>
      <c r="FC47" s="526"/>
      <c r="FD47" s="526"/>
      <c r="FE47" s="526"/>
      <c r="FF47" s="526"/>
      <c r="FG47" s="526"/>
      <c r="FH47" s="526"/>
      <c r="FI47" s="526"/>
      <c r="FJ47" s="526"/>
      <c r="FK47" s="526"/>
      <c r="FL47" s="526"/>
      <c r="FM47" s="526"/>
      <c r="FN47" s="526"/>
      <c r="FO47" s="526"/>
      <c r="FP47" s="526"/>
      <c r="FQ47" s="526"/>
      <c r="FR47" s="526"/>
      <c r="FS47" s="526"/>
      <c r="FT47" s="526"/>
      <c r="FU47" s="526"/>
      <c r="FV47" s="526"/>
      <c r="FW47" s="526"/>
      <c r="FX47" s="526"/>
      <c r="FY47" s="526"/>
      <c r="FZ47" s="526"/>
      <c r="GA47" s="526"/>
      <c r="GB47" s="526"/>
      <c r="GC47" s="526"/>
      <c r="GD47" s="526"/>
      <c r="GE47" s="526"/>
      <c r="GF47" s="526"/>
      <c r="GG47" s="526"/>
      <c r="GH47" s="526"/>
      <c r="GI47" s="526"/>
      <c r="GJ47" s="526"/>
      <c r="GK47" s="526"/>
      <c r="GL47" s="526"/>
      <c r="GM47" s="526"/>
      <c r="GN47" s="526"/>
      <c r="GO47" s="526"/>
      <c r="GP47" s="526"/>
      <c r="GQ47" s="526"/>
      <c r="GR47" s="526"/>
      <c r="GS47" s="526"/>
      <c r="GT47" s="526"/>
      <c r="GU47" s="526"/>
      <c r="GV47" s="526"/>
      <c r="GW47" s="526"/>
      <c r="GX47" s="526"/>
      <c r="GY47" s="526"/>
      <c r="GZ47" s="526"/>
      <c r="HA47" s="526"/>
      <c r="HB47" s="526"/>
      <c r="HC47" s="526"/>
      <c r="HD47" s="526"/>
      <c r="HE47" s="526"/>
      <c r="HF47" s="526"/>
      <c r="HG47" s="526"/>
      <c r="HH47" s="526"/>
      <c r="HI47" s="526"/>
      <c r="HJ47" s="526"/>
      <c r="HK47" s="526"/>
      <c r="HL47" s="526"/>
      <c r="HM47" s="526"/>
      <c r="HN47" s="526"/>
      <c r="HO47" s="526"/>
      <c r="HP47" s="526"/>
      <c r="HQ47" s="526"/>
      <c r="HR47" s="526"/>
      <c r="HS47" s="526"/>
      <c r="HT47" s="526"/>
      <c r="HU47" s="526"/>
      <c r="HV47" s="526"/>
      <c r="HW47" s="526"/>
      <c r="HX47" s="526"/>
      <c r="HY47" s="526"/>
      <c r="HZ47" s="526"/>
      <c r="IA47" s="526"/>
      <c r="IB47" s="526"/>
      <c r="IC47" s="526"/>
      <c r="ID47" s="526"/>
      <c r="IE47" s="526"/>
      <c r="IF47" s="526"/>
      <c r="IG47" s="526"/>
      <c r="IH47" s="526"/>
      <c r="II47" s="526"/>
      <c r="IJ47" s="526"/>
      <c r="IK47" s="526"/>
      <c r="IL47" s="526"/>
      <c r="IM47" s="526"/>
      <c r="IN47" s="526"/>
      <c r="IO47" s="526"/>
      <c r="IP47" s="526"/>
      <c r="IQ47" s="526"/>
      <c r="IR47" s="526"/>
      <c r="IS47" s="526"/>
      <c r="IT47" s="526"/>
      <c r="IU47" s="526"/>
    </row>
    <row r="48" spans="1:255" ht="15">
      <c r="A48" s="556" t="s">
        <v>314</v>
      </c>
      <c r="B48" s="910" t="s">
        <v>619</v>
      </c>
      <c r="C48" s="95" t="s">
        <v>659</v>
      </c>
      <c r="D48" s="909">
        <f>C7/7</f>
        <v>1.4285714285714286</v>
      </c>
      <c r="E48" s="399"/>
      <c r="F48" s="356">
        <f>(F7*2*'№1,6 Мобил., демоб  БУ'!P21+F7*2/35*'№1,6 Мобил., демоб  БУ'!L21)*D48</f>
        <v>0</v>
      </c>
      <c r="G48" s="544"/>
      <c r="H48" s="544"/>
      <c r="I48" s="526"/>
      <c r="J48" s="526"/>
      <c r="K48" s="526"/>
      <c r="L48" s="526"/>
      <c r="M48" s="559"/>
      <c r="N48" s="544"/>
      <c r="O48" s="544"/>
      <c r="P48" s="526"/>
      <c r="Q48" s="526"/>
      <c r="R48" s="526"/>
      <c r="S48" s="526"/>
      <c r="T48" s="526"/>
      <c r="U48" s="526"/>
      <c r="V48" s="526"/>
      <c r="W48" s="526"/>
      <c r="X48" s="526"/>
      <c r="Y48" s="526"/>
      <c r="Z48" s="526"/>
      <c r="AA48" s="526"/>
      <c r="AB48" s="526"/>
      <c r="AC48" s="526"/>
      <c r="AD48" s="526"/>
      <c r="AE48" s="526"/>
      <c r="AF48" s="526"/>
      <c r="AG48" s="526"/>
      <c r="AH48" s="526"/>
      <c r="AI48" s="526"/>
      <c r="AJ48" s="526"/>
      <c r="AK48" s="526"/>
      <c r="AL48" s="526"/>
      <c r="AM48" s="526"/>
      <c r="AN48" s="526"/>
      <c r="AO48" s="526"/>
      <c r="AP48" s="526"/>
      <c r="AQ48" s="526"/>
      <c r="AR48" s="526"/>
      <c r="AS48" s="526"/>
      <c r="AT48" s="526"/>
      <c r="AU48" s="526"/>
      <c r="AV48" s="526"/>
      <c r="AW48" s="526"/>
      <c r="AX48" s="526"/>
      <c r="AY48" s="526"/>
      <c r="AZ48" s="526"/>
      <c r="BA48" s="526"/>
      <c r="BB48" s="526"/>
      <c r="BC48" s="526"/>
      <c r="BD48" s="526"/>
      <c r="BE48" s="526"/>
      <c r="BF48" s="526"/>
      <c r="BG48" s="526"/>
      <c r="BH48" s="526"/>
      <c r="BI48" s="526"/>
      <c r="BJ48" s="526"/>
      <c r="BK48" s="526"/>
      <c r="BL48" s="526"/>
      <c r="BM48" s="526"/>
      <c r="BN48" s="526"/>
      <c r="BO48" s="526"/>
      <c r="BP48" s="526"/>
      <c r="BQ48" s="526"/>
      <c r="BR48" s="526"/>
      <c r="BS48" s="526"/>
      <c r="BT48" s="526"/>
      <c r="BU48" s="526"/>
      <c r="BV48" s="526"/>
      <c r="BW48" s="526"/>
      <c r="BX48" s="526"/>
      <c r="BY48" s="526"/>
      <c r="BZ48" s="526"/>
      <c r="CA48" s="526"/>
      <c r="CB48" s="526"/>
      <c r="CC48" s="526"/>
      <c r="CD48" s="526"/>
      <c r="CE48" s="526"/>
      <c r="CF48" s="526"/>
      <c r="CG48" s="526"/>
      <c r="CH48" s="526"/>
      <c r="CI48" s="526"/>
      <c r="CJ48" s="526"/>
      <c r="CK48" s="526"/>
      <c r="CL48" s="526"/>
      <c r="CM48" s="526"/>
      <c r="CN48" s="526"/>
      <c r="CO48" s="526"/>
      <c r="CP48" s="526"/>
      <c r="CQ48" s="526"/>
      <c r="CR48" s="526"/>
      <c r="CS48" s="526"/>
      <c r="CT48" s="526"/>
      <c r="CU48" s="526"/>
      <c r="CV48" s="526"/>
      <c r="CW48" s="526"/>
      <c r="CX48" s="526"/>
      <c r="CY48" s="526"/>
      <c r="CZ48" s="526"/>
      <c r="DA48" s="526"/>
      <c r="DB48" s="526"/>
      <c r="DC48" s="526"/>
      <c r="DD48" s="526"/>
      <c r="DE48" s="526"/>
      <c r="DF48" s="526"/>
      <c r="DG48" s="526"/>
      <c r="DH48" s="526"/>
      <c r="DI48" s="526"/>
      <c r="DJ48" s="526"/>
      <c r="DK48" s="526"/>
      <c r="DL48" s="526"/>
      <c r="DM48" s="526"/>
      <c r="DN48" s="526"/>
      <c r="DO48" s="526"/>
      <c r="DP48" s="526"/>
      <c r="DQ48" s="526"/>
      <c r="DR48" s="526"/>
      <c r="DS48" s="526"/>
      <c r="DT48" s="526"/>
      <c r="DU48" s="526"/>
      <c r="DV48" s="526"/>
      <c r="DW48" s="526"/>
      <c r="DX48" s="526"/>
      <c r="DY48" s="526"/>
      <c r="DZ48" s="526"/>
      <c r="EA48" s="526"/>
      <c r="EB48" s="526"/>
      <c r="EC48" s="526"/>
      <c r="ED48" s="526"/>
      <c r="EE48" s="526"/>
      <c r="EF48" s="526"/>
      <c r="EG48" s="526"/>
      <c r="EH48" s="526"/>
      <c r="EI48" s="526"/>
      <c r="EJ48" s="526"/>
      <c r="EK48" s="526"/>
      <c r="EL48" s="526"/>
      <c r="EM48" s="526"/>
      <c r="EN48" s="526"/>
      <c r="EO48" s="526"/>
      <c r="EP48" s="526"/>
      <c r="EQ48" s="526"/>
      <c r="ER48" s="526"/>
      <c r="ES48" s="526"/>
      <c r="ET48" s="526"/>
      <c r="EU48" s="526"/>
      <c r="EV48" s="526"/>
      <c r="EW48" s="526"/>
      <c r="EX48" s="526"/>
      <c r="EY48" s="526"/>
      <c r="EZ48" s="526"/>
      <c r="FA48" s="526"/>
      <c r="FB48" s="526"/>
      <c r="FC48" s="526"/>
      <c r="FD48" s="526"/>
      <c r="FE48" s="526"/>
      <c r="FF48" s="526"/>
      <c r="FG48" s="526"/>
      <c r="FH48" s="526"/>
      <c r="FI48" s="526"/>
      <c r="FJ48" s="526"/>
      <c r="FK48" s="526"/>
      <c r="FL48" s="526"/>
      <c r="FM48" s="526"/>
      <c r="FN48" s="526"/>
      <c r="FO48" s="526"/>
      <c r="FP48" s="526"/>
      <c r="FQ48" s="526"/>
      <c r="FR48" s="526"/>
      <c r="FS48" s="526"/>
      <c r="FT48" s="526"/>
      <c r="FU48" s="526"/>
      <c r="FV48" s="526"/>
      <c r="FW48" s="526"/>
      <c r="FX48" s="526"/>
      <c r="FY48" s="526"/>
      <c r="FZ48" s="526"/>
      <c r="GA48" s="526"/>
      <c r="GB48" s="526"/>
      <c r="GC48" s="526"/>
      <c r="GD48" s="526"/>
      <c r="GE48" s="526"/>
      <c r="GF48" s="526"/>
      <c r="GG48" s="526"/>
      <c r="GH48" s="526"/>
      <c r="GI48" s="526"/>
      <c r="GJ48" s="526"/>
      <c r="GK48" s="526"/>
      <c r="GL48" s="526"/>
      <c r="GM48" s="526"/>
      <c r="GN48" s="526"/>
      <c r="GO48" s="526"/>
      <c r="GP48" s="526"/>
      <c r="GQ48" s="526"/>
      <c r="GR48" s="526"/>
      <c r="GS48" s="526"/>
      <c r="GT48" s="526"/>
      <c r="GU48" s="526"/>
      <c r="GV48" s="526"/>
      <c r="GW48" s="526"/>
      <c r="GX48" s="526"/>
      <c r="GY48" s="526"/>
      <c r="GZ48" s="526"/>
      <c r="HA48" s="526"/>
      <c r="HB48" s="526"/>
      <c r="HC48" s="526"/>
      <c r="HD48" s="526"/>
      <c r="HE48" s="526"/>
      <c r="HF48" s="526"/>
      <c r="HG48" s="526"/>
      <c r="HH48" s="526"/>
      <c r="HI48" s="526"/>
      <c r="HJ48" s="526"/>
      <c r="HK48" s="526"/>
      <c r="HL48" s="526"/>
      <c r="HM48" s="526"/>
      <c r="HN48" s="526"/>
      <c r="HO48" s="526"/>
      <c r="HP48" s="526"/>
      <c r="HQ48" s="526"/>
      <c r="HR48" s="526"/>
      <c r="HS48" s="526"/>
      <c r="HT48" s="526"/>
      <c r="HU48" s="526"/>
      <c r="HV48" s="526"/>
      <c r="HW48" s="526"/>
      <c r="HX48" s="526"/>
      <c r="HY48" s="526"/>
      <c r="HZ48" s="526"/>
      <c r="IA48" s="526"/>
      <c r="IB48" s="526"/>
      <c r="IC48" s="526"/>
      <c r="ID48" s="526"/>
      <c r="IE48" s="526"/>
      <c r="IF48" s="526"/>
      <c r="IG48" s="526"/>
      <c r="IH48" s="526"/>
      <c r="II48" s="526"/>
      <c r="IJ48" s="526"/>
      <c r="IK48" s="526"/>
      <c r="IL48" s="526"/>
      <c r="IM48" s="526"/>
      <c r="IN48" s="526"/>
      <c r="IO48" s="526"/>
      <c r="IP48" s="526"/>
      <c r="IQ48" s="526"/>
      <c r="IR48" s="526"/>
      <c r="IS48" s="526"/>
      <c r="IT48" s="526"/>
      <c r="IU48" s="526"/>
    </row>
    <row r="49" spans="1:255" ht="15">
      <c r="A49" s="556" t="s">
        <v>315</v>
      </c>
      <c r="B49" s="65" t="s">
        <v>658</v>
      </c>
      <c r="C49" s="262" t="s">
        <v>163</v>
      </c>
      <c r="D49" s="381">
        <f>C7*22</f>
        <v>220</v>
      </c>
      <c r="E49" s="399">
        <f>'№5.1Демонтаж БУ'!E56</f>
        <v>0</v>
      </c>
      <c r="F49" s="289">
        <f>ROUND(D49*E49,2)</f>
        <v>0</v>
      </c>
      <c r="G49" s="544"/>
      <c r="H49" s="544"/>
      <c r="I49" s="526"/>
      <c r="J49" s="526"/>
      <c r="K49" s="526"/>
      <c r="L49" s="526"/>
      <c r="M49" s="559"/>
      <c r="N49" s="544"/>
      <c r="O49" s="544"/>
      <c r="P49" s="526"/>
      <c r="Q49" s="526"/>
      <c r="R49" s="526"/>
      <c r="S49" s="526"/>
      <c r="T49" s="526"/>
      <c r="U49" s="526"/>
      <c r="V49" s="526"/>
      <c r="W49" s="526"/>
      <c r="X49" s="526"/>
      <c r="Y49" s="526"/>
      <c r="Z49" s="526"/>
      <c r="AA49" s="526"/>
      <c r="AB49" s="526"/>
      <c r="AC49" s="526"/>
      <c r="AD49" s="526"/>
      <c r="AE49" s="526"/>
      <c r="AF49" s="526"/>
      <c r="AG49" s="526"/>
      <c r="AH49" s="526"/>
      <c r="AI49" s="526"/>
      <c r="AJ49" s="526"/>
      <c r="AK49" s="526"/>
      <c r="AL49" s="526"/>
      <c r="AM49" s="526"/>
      <c r="AN49" s="526"/>
      <c r="AO49" s="526"/>
      <c r="AP49" s="526"/>
      <c r="AQ49" s="526"/>
      <c r="AR49" s="526"/>
      <c r="AS49" s="526"/>
      <c r="AT49" s="526"/>
      <c r="AU49" s="526"/>
      <c r="AV49" s="526"/>
      <c r="AW49" s="526"/>
      <c r="AX49" s="526"/>
      <c r="AY49" s="526"/>
      <c r="AZ49" s="526"/>
      <c r="BA49" s="526"/>
      <c r="BB49" s="526"/>
      <c r="BC49" s="526"/>
      <c r="BD49" s="526"/>
      <c r="BE49" s="526"/>
      <c r="BF49" s="526"/>
      <c r="BG49" s="526"/>
      <c r="BH49" s="526"/>
      <c r="BI49" s="526"/>
      <c r="BJ49" s="526"/>
      <c r="BK49" s="526"/>
      <c r="BL49" s="526"/>
      <c r="BM49" s="526"/>
      <c r="BN49" s="526"/>
      <c r="BO49" s="526"/>
      <c r="BP49" s="526"/>
      <c r="BQ49" s="526"/>
      <c r="BR49" s="526"/>
      <c r="BS49" s="526"/>
      <c r="BT49" s="526"/>
      <c r="BU49" s="526"/>
      <c r="BV49" s="526"/>
      <c r="BW49" s="526"/>
      <c r="BX49" s="526"/>
      <c r="BY49" s="526"/>
      <c r="BZ49" s="526"/>
      <c r="CA49" s="526"/>
      <c r="CB49" s="526"/>
      <c r="CC49" s="526"/>
      <c r="CD49" s="526"/>
      <c r="CE49" s="526"/>
      <c r="CF49" s="526"/>
      <c r="CG49" s="526"/>
      <c r="CH49" s="526"/>
      <c r="CI49" s="526"/>
      <c r="CJ49" s="526"/>
      <c r="CK49" s="526"/>
      <c r="CL49" s="526"/>
      <c r="CM49" s="526"/>
      <c r="CN49" s="526"/>
      <c r="CO49" s="526"/>
      <c r="CP49" s="526"/>
      <c r="CQ49" s="526"/>
      <c r="CR49" s="526"/>
      <c r="CS49" s="526"/>
      <c r="CT49" s="526"/>
      <c r="CU49" s="526"/>
      <c r="CV49" s="526"/>
      <c r="CW49" s="526"/>
      <c r="CX49" s="526"/>
      <c r="CY49" s="526"/>
      <c r="CZ49" s="526"/>
      <c r="DA49" s="526"/>
      <c r="DB49" s="526"/>
      <c r="DC49" s="526"/>
      <c r="DD49" s="526"/>
      <c r="DE49" s="526"/>
      <c r="DF49" s="526"/>
      <c r="DG49" s="526"/>
      <c r="DH49" s="526"/>
      <c r="DI49" s="526"/>
      <c r="DJ49" s="526"/>
      <c r="DK49" s="526"/>
      <c r="DL49" s="526"/>
      <c r="DM49" s="526"/>
      <c r="DN49" s="526"/>
      <c r="DO49" s="526"/>
      <c r="DP49" s="526"/>
      <c r="DQ49" s="526"/>
      <c r="DR49" s="526"/>
      <c r="DS49" s="526"/>
      <c r="DT49" s="526"/>
      <c r="DU49" s="526"/>
      <c r="DV49" s="526"/>
      <c r="DW49" s="526"/>
      <c r="DX49" s="526"/>
      <c r="DY49" s="526"/>
      <c r="DZ49" s="526"/>
      <c r="EA49" s="526"/>
      <c r="EB49" s="526"/>
      <c r="EC49" s="526"/>
      <c r="ED49" s="526"/>
      <c r="EE49" s="526"/>
      <c r="EF49" s="526"/>
      <c r="EG49" s="526"/>
      <c r="EH49" s="526"/>
      <c r="EI49" s="526"/>
      <c r="EJ49" s="526"/>
      <c r="EK49" s="526"/>
      <c r="EL49" s="526"/>
      <c r="EM49" s="526"/>
      <c r="EN49" s="526"/>
      <c r="EO49" s="526"/>
      <c r="EP49" s="526"/>
      <c r="EQ49" s="526"/>
      <c r="ER49" s="526"/>
      <c r="ES49" s="526"/>
      <c r="ET49" s="526"/>
      <c r="EU49" s="526"/>
      <c r="EV49" s="526"/>
      <c r="EW49" s="526"/>
      <c r="EX49" s="526"/>
      <c r="EY49" s="526"/>
      <c r="EZ49" s="526"/>
      <c r="FA49" s="526"/>
      <c r="FB49" s="526"/>
      <c r="FC49" s="526"/>
      <c r="FD49" s="526"/>
      <c r="FE49" s="526"/>
      <c r="FF49" s="526"/>
      <c r="FG49" s="526"/>
      <c r="FH49" s="526"/>
      <c r="FI49" s="526"/>
      <c r="FJ49" s="526"/>
      <c r="FK49" s="526"/>
      <c r="FL49" s="526"/>
      <c r="FM49" s="526"/>
      <c r="FN49" s="526"/>
      <c r="FO49" s="526"/>
      <c r="FP49" s="526"/>
      <c r="FQ49" s="526"/>
      <c r="FR49" s="526"/>
      <c r="FS49" s="526"/>
      <c r="FT49" s="526"/>
      <c r="FU49" s="526"/>
      <c r="FV49" s="526"/>
      <c r="FW49" s="526"/>
      <c r="FX49" s="526"/>
      <c r="FY49" s="526"/>
      <c r="FZ49" s="526"/>
      <c r="GA49" s="526"/>
      <c r="GB49" s="526"/>
      <c r="GC49" s="526"/>
      <c r="GD49" s="526"/>
      <c r="GE49" s="526"/>
      <c r="GF49" s="526"/>
      <c r="GG49" s="526"/>
      <c r="GH49" s="526"/>
      <c r="GI49" s="526"/>
      <c r="GJ49" s="526"/>
      <c r="GK49" s="526"/>
      <c r="GL49" s="526"/>
      <c r="GM49" s="526"/>
      <c r="GN49" s="526"/>
      <c r="GO49" s="526"/>
      <c r="GP49" s="526"/>
      <c r="GQ49" s="526"/>
      <c r="GR49" s="526"/>
      <c r="GS49" s="526"/>
      <c r="GT49" s="526"/>
      <c r="GU49" s="526"/>
      <c r="GV49" s="526"/>
      <c r="GW49" s="526"/>
      <c r="GX49" s="526"/>
      <c r="GY49" s="526"/>
      <c r="GZ49" s="526"/>
      <c r="HA49" s="526"/>
      <c r="HB49" s="526"/>
      <c r="HC49" s="526"/>
      <c r="HD49" s="526"/>
      <c r="HE49" s="526"/>
      <c r="HF49" s="526"/>
      <c r="HG49" s="526"/>
      <c r="HH49" s="526"/>
      <c r="HI49" s="526"/>
      <c r="HJ49" s="526"/>
      <c r="HK49" s="526"/>
      <c r="HL49" s="526"/>
      <c r="HM49" s="526"/>
      <c r="HN49" s="526"/>
      <c r="HO49" s="526"/>
      <c r="HP49" s="526"/>
      <c r="HQ49" s="526"/>
      <c r="HR49" s="526"/>
      <c r="HS49" s="526"/>
      <c r="HT49" s="526"/>
      <c r="HU49" s="526"/>
      <c r="HV49" s="526"/>
      <c r="HW49" s="526"/>
      <c r="HX49" s="526"/>
      <c r="HY49" s="526"/>
      <c r="HZ49" s="526"/>
      <c r="IA49" s="526"/>
      <c r="IB49" s="526"/>
      <c r="IC49" s="526"/>
      <c r="ID49" s="526"/>
      <c r="IE49" s="526"/>
      <c r="IF49" s="526"/>
      <c r="IG49" s="526"/>
      <c r="IH49" s="526"/>
      <c r="II49" s="526"/>
      <c r="IJ49" s="526"/>
      <c r="IK49" s="526"/>
      <c r="IL49" s="526"/>
      <c r="IM49" s="526"/>
      <c r="IN49" s="526"/>
      <c r="IO49" s="526"/>
      <c r="IP49" s="526"/>
      <c r="IQ49" s="526"/>
      <c r="IR49" s="526"/>
      <c r="IS49" s="526"/>
      <c r="IT49" s="526"/>
      <c r="IU49" s="526"/>
    </row>
    <row r="50" spans="1:255" ht="15">
      <c r="A50" s="545"/>
      <c r="B50" s="524" t="s">
        <v>20</v>
      </c>
      <c r="C50" s="524"/>
      <c r="D50" s="550"/>
      <c r="E50" s="524"/>
      <c r="F50" s="522"/>
      <c r="G50" s="544"/>
      <c r="H50" s="544"/>
      <c r="M50" s="544"/>
      <c r="N50" s="544"/>
      <c r="O50" s="544"/>
    </row>
    <row r="51" spans="1:255" ht="15">
      <c r="A51" s="556"/>
      <c r="B51" s="560" t="s">
        <v>83</v>
      </c>
      <c r="C51" s="561"/>
      <c r="D51" s="562"/>
      <c r="E51" s="561"/>
      <c r="F51" s="563">
        <f>SUM(F42:F50)</f>
        <v>0</v>
      </c>
      <c r="G51" s="544"/>
      <c r="H51" s="544"/>
      <c r="I51" s="526"/>
      <c r="J51" s="526"/>
      <c r="K51" s="526"/>
      <c r="L51" s="526"/>
      <c r="M51" s="559"/>
      <c r="N51" s="544"/>
      <c r="O51" s="544"/>
      <c r="P51" s="526"/>
      <c r="Q51" s="526"/>
      <c r="R51" s="526"/>
      <c r="S51" s="526"/>
      <c r="T51" s="526"/>
      <c r="U51" s="526"/>
      <c r="V51" s="526"/>
      <c r="W51" s="526"/>
      <c r="X51" s="526"/>
      <c r="Y51" s="526"/>
      <c r="Z51" s="526"/>
      <c r="AA51" s="526"/>
      <c r="AB51" s="526"/>
      <c r="AC51" s="526"/>
      <c r="AD51" s="526"/>
      <c r="AE51" s="526"/>
      <c r="AF51" s="526"/>
      <c r="AG51" s="526"/>
      <c r="AH51" s="526"/>
      <c r="AI51" s="526"/>
      <c r="AJ51" s="526"/>
      <c r="AK51" s="526"/>
      <c r="AL51" s="526"/>
      <c r="AM51" s="526"/>
      <c r="AN51" s="526"/>
      <c r="AO51" s="526"/>
      <c r="AP51" s="526"/>
      <c r="AQ51" s="526"/>
      <c r="AR51" s="526"/>
      <c r="AS51" s="526"/>
      <c r="AT51" s="526"/>
      <c r="AU51" s="526"/>
      <c r="AV51" s="526"/>
      <c r="AW51" s="526"/>
      <c r="AX51" s="526"/>
      <c r="AY51" s="526"/>
      <c r="AZ51" s="526"/>
      <c r="BA51" s="526"/>
      <c r="BB51" s="526"/>
      <c r="BC51" s="526"/>
      <c r="BD51" s="526"/>
      <c r="BE51" s="526"/>
      <c r="BF51" s="526"/>
      <c r="BG51" s="526"/>
      <c r="BH51" s="526"/>
      <c r="BI51" s="526"/>
      <c r="BJ51" s="526"/>
      <c r="BK51" s="526"/>
      <c r="BL51" s="526"/>
      <c r="BM51" s="526"/>
      <c r="BN51" s="526"/>
      <c r="BO51" s="526"/>
      <c r="BP51" s="526"/>
      <c r="BQ51" s="526"/>
      <c r="BR51" s="526"/>
      <c r="BS51" s="526"/>
      <c r="BT51" s="526"/>
      <c r="BU51" s="526"/>
      <c r="BV51" s="526"/>
      <c r="BW51" s="526"/>
      <c r="BX51" s="526"/>
      <c r="BY51" s="526"/>
      <c r="BZ51" s="526"/>
      <c r="CA51" s="526"/>
      <c r="CB51" s="526"/>
      <c r="CC51" s="526"/>
      <c r="CD51" s="526"/>
      <c r="CE51" s="526"/>
      <c r="CF51" s="526"/>
      <c r="CG51" s="526"/>
      <c r="CH51" s="526"/>
      <c r="CI51" s="526"/>
      <c r="CJ51" s="526"/>
      <c r="CK51" s="526"/>
      <c r="CL51" s="526"/>
      <c r="CM51" s="526"/>
      <c r="CN51" s="526"/>
      <c r="CO51" s="526"/>
      <c r="CP51" s="526"/>
      <c r="CQ51" s="526"/>
      <c r="CR51" s="526"/>
      <c r="CS51" s="526"/>
      <c r="CT51" s="526"/>
      <c r="CU51" s="526"/>
      <c r="CV51" s="526"/>
      <c r="CW51" s="526"/>
      <c r="CX51" s="526"/>
      <c r="CY51" s="526"/>
      <c r="CZ51" s="526"/>
      <c r="DA51" s="526"/>
      <c r="DB51" s="526"/>
      <c r="DC51" s="526"/>
      <c r="DD51" s="526"/>
      <c r="DE51" s="526"/>
      <c r="DF51" s="526"/>
      <c r="DG51" s="526"/>
      <c r="DH51" s="526"/>
      <c r="DI51" s="526"/>
      <c r="DJ51" s="526"/>
      <c r="DK51" s="526"/>
      <c r="DL51" s="526"/>
      <c r="DM51" s="526"/>
      <c r="DN51" s="526"/>
      <c r="DO51" s="526"/>
      <c r="DP51" s="526"/>
      <c r="DQ51" s="526"/>
      <c r="DR51" s="526"/>
      <c r="DS51" s="526"/>
      <c r="DT51" s="526"/>
      <c r="DU51" s="526"/>
      <c r="DV51" s="526"/>
      <c r="DW51" s="526"/>
      <c r="DX51" s="526"/>
      <c r="DY51" s="526"/>
      <c r="DZ51" s="526"/>
      <c r="EA51" s="526"/>
      <c r="EB51" s="526"/>
      <c r="EC51" s="526"/>
      <c r="ED51" s="526"/>
      <c r="EE51" s="526"/>
      <c r="EF51" s="526"/>
      <c r="EG51" s="526"/>
      <c r="EH51" s="526"/>
      <c r="EI51" s="526"/>
      <c r="EJ51" s="526"/>
      <c r="EK51" s="526"/>
      <c r="EL51" s="526"/>
      <c r="EM51" s="526"/>
      <c r="EN51" s="526"/>
      <c r="EO51" s="526"/>
      <c r="EP51" s="526"/>
      <c r="EQ51" s="526"/>
      <c r="ER51" s="526"/>
      <c r="ES51" s="526"/>
      <c r="ET51" s="526"/>
      <c r="EU51" s="526"/>
      <c r="EV51" s="526"/>
      <c r="EW51" s="526"/>
      <c r="EX51" s="526"/>
      <c r="EY51" s="526"/>
      <c r="EZ51" s="526"/>
      <c r="FA51" s="526"/>
      <c r="FB51" s="526"/>
      <c r="FC51" s="526"/>
      <c r="FD51" s="526"/>
      <c r="FE51" s="526"/>
      <c r="FF51" s="526"/>
      <c r="FG51" s="526"/>
      <c r="FH51" s="526"/>
      <c r="FI51" s="526"/>
      <c r="FJ51" s="526"/>
      <c r="FK51" s="526"/>
      <c r="FL51" s="526"/>
      <c r="FM51" s="526"/>
      <c r="FN51" s="526"/>
      <c r="FO51" s="526"/>
      <c r="FP51" s="526"/>
      <c r="FQ51" s="526"/>
      <c r="FR51" s="526"/>
      <c r="FS51" s="526"/>
      <c r="FT51" s="526"/>
      <c r="FU51" s="526"/>
      <c r="FV51" s="526"/>
      <c r="FW51" s="526"/>
      <c r="FX51" s="526"/>
      <c r="FY51" s="526"/>
      <c r="FZ51" s="526"/>
      <c r="GA51" s="526"/>
      <c r="GB51" s="526"/>
      <c r="GC51" s="526"/>
      <c r="GD51" s="526"/>
      <c r="GE51" s="526"/>
      <c r="GF51" s="526"/>
      <c r="GG51" s="526"/>
      <c r="GH51" s="526"/>
      <c r="GI51" s="526"/>
      <c r="GJ51" s="526"/>
      <c r="GK51" s="526"/>
      <c r="GL51" s="526"/>
      <c r="GM51" s="526"/>
      <c r="GN51" s="526"/>
      <c r="GO51" s="526"/>
      <c r="GP51" s="526"/>
      <c r="GQ51" s="526"/>
      <c r="GR51" s="526"/>
      <c r="GS51" s="526"/>
      <c r="GT51" s="526"/>
      <c r="GU51" s="526"/>
      <c r="GV51" s="526"/>
      <c r="GW51" s="526"/>
      <c r="GX51" s="526"/>
      <c r="GY51" s="526"/>
      <c r="GZ51" s="526"/>
      <c r="HA51" s="526"/>
      <c r="HB51" s="526"/>
      <c r="HC51" s="526"/>
      <c r="HD51" s="526"/>
      <c r="HE51" s="526"/>
      <c r="HF51" s="526"/>
      <c r="HG51" s="526"/>
      <c r="HH51" s="526"/>
      <c r="HI51" s="526"/>
      <c r="HJ51" s="526"/>
      <c r="HK51" s="526"/>
      <c r="HL51" s="526"/>
      <c r="HM51" s="526"/>
      <c r="HN51" s="526"/>
      <c r="HO51" s="526"/>
      <c r="HP51" s="526"/>
      <c r="HQ51" s="526"/>
      <c r="HR51" s="526"/>
      <c r="HS51" s="526"/>
      <c r="HT51" s="526"/>
      <c r="HU51" s="526"/>
      <c r="HV51" s="526"/>
      <c r="HW51" s="526"/>
      <c r="HX51" s="526"/>
      <c r="HY51" s="526"/>
      <c r="HZ51" s="526"/>
      <c r="IA51" s="526"/>
      <c r="IB51" s="526"/>
      <c r="IC51" s="526"/>
      <c r="ID51" s="526"/>
      <c r="IE51" s="526"/>
      <c r="IF51" s="526"/>
      <c r="IG51" s="526"/>
      <c r="IH51" s="526"/>
      <c r="II51" s="526"/>
      <c r="IJ51" s="526"/>
      <c r="IK51" s="526"/>
      <c r="IL51" s="526"/>
      <c r="IM51" s="526"/>
      <c r="IN51" s="526"/>
      <c r="IO51" s="526"/>
      <c r="IP51" s="526"/>
      <c r="IQ51" s="526"/>
      <c r="IR51" s="526"/>
      <c r="IS51" s="526"/>
      <c r="IT51" s="526"/>
      <c r="IU51" s="526"/>
    </row>
    <row r="52" spans="1:255" ht="15">
      <c r="A52" s="564" t="s">
        <v>30</v>
      </c>
      <c r="B52" s="565" t="s">
        <v>74</v>
      </c>
      <c r="C52" s="566" t="s">
        <v>163</v>
      </c>
      <c r="D52" s="558">
        <f>C7*24</f>
        <v>240</v>
      </c>
      <c r="E52" s="567">
        <f>'№5.1Демонтаж БУ'!E59</f>
        <v>0</v>
      </c>
      <c r="F52" s="568">
        <f>ROUND(D52*E52,2)</f>
        <v>0</v>
      </c>
      <c r="G52" s="544"/>
      <c r="H52" s="544"/>
      <c r="I52" s="526"/>
      <c r="J52" s="526"/>
      <c r="K52" s="526"/>
      <c r="L52" s="526"/>
      <c r="M52" s="559"/>
      <c r="N52" s="544"/>
      <c r="O52" s="544"/>
      <c r="P52" s="526"/>
      <c r="Q52" s="526"/>
      <c r="R52" s="526"/>
      <c r="S52" s="526"/>
      <c r="T52" s="526"/>
      <c r="U52" s="526"/>
      <c r="V52" s="526"/>
      <c r="W52" s="526"/>
      <c r="X52" s="526"/>
      <c r="Y52" s="526"/>
      <c r="Z52" s="526"/>
      <c r="AA52" s="526"/>
      <c r="AB52" s="526"/>
      <c r="AC52" s="526"/>
      <c r="AD52" s="526"/>
      <c r="AE52" s="526"/>
      <c r="AF52" s="526"/>
      <c r="AG52" s="526"/>
      <c r="AH52" s="526"/>
      <c r="AI52" s="526"/>
      <c r="AJ52" s="526"/>
      <c r="AK52" s="526"/>
      <c r="AL52" s="526"/>
      <c r="AM52" s="526"/>
      <c r="AN52" s="526"/>
      <c r="AO52" s="526"/>
      <c r="AP52" s="526"/>
      <c r="AQ52" s="526"/>
      <c r="AR52" s="526"/>
      <c r="AS52" s="526"/>
      <c r="AT52" s="526"/>
      <c r="AU52" s="526"/>
      <c r="AV52" s="526"/>
      <c r="AW52" s="526"/>
      <c r="AX52" s="526"/>
      <c r="AY52" s="526"/>
      <c r="AZ52" s="526"/>
      <c r="BA52" s="526"/>
      <c r="BB52" s="526"/>
      <c r="BC52" s="526"/>
      <c r="BD52" s="526"/>
      <c r="BE52" s="526"/>
      <c r="BF52" s="526"/>
      <c r="BG52" s="526"/>
      <c r="BH52" s="526"/>
      <c r="BI52" s="526"/>
      <c r="BJ52" s="526"/>
      <c r="BK52" s="526"/>
      <c r="BL52" s="526"/>
      <c r="BM52" s="526"/>
      <c r="BN52" s="526"/>
      <c r="BO52" s="526"/>
      <c r="BP52" s="526"/>
      <c r="BQ52" s="526"/>
      <c r="BR52" s="526"/>
      <c r="BS52" s="526"/>
      <c r="BT52" s="526"/>
      <c r="BU52" s="526"/>
      <c r="BV52" s="526"/>
      <c r="BW52" s="526"/>
      <c r="BX52" s="526"/>
      <c r="BY52" s="526"/>
      <c r="BZ52" s="526"/>
      <c r="CA52" s="526"/>
      <c r="CB52" s="526"/>
      <c r="CC52" s="526"/>
      <c r="CD52" s="526"/>
      <c r="CE52" s="526"/>
      <c r="CF52" s="526"/>
      <c r="CG52" s="526"/>
      <c r="CH52" s="526"/>
      <c r="CI52" s="526"/>
      <c r="CJ52" s="526"/>
      <c r="CK52" s="526"/>
      <c r="CL52" s="526"/>
      <c r="CM52" s="526"/>
      <c r="CN52" s="526"/>
      <c r="CO52" s="526"/>
      <c r="CP52" s="526"/>
      <c r="CQ52" s="526"/>
      <c r="CR52" s="526"/>
      <c r="CS52" s="526"/>
      <c r="CT52" s="526"/>
      <c r="CU52" s="526"/>
      <c r="CV52" s="526"/>
      <c r="CW52" s="526"/>
      <c r="CX52" s="526"/>
      <c r="CY52" s="526"/>
      <c r="CZ52" s="526"/>
      <c r="DA52" s="526"/>
      <c r="DB52" s="526"/>
      <c r="DC52" s="526"/>
      <c r="DD52" s="526"/>
      <c r="DE52" s="526"/>
      <c r="DF52" s="526"/>
      <c r="DG52" s="526"/>
      <c r="DH52" s="526"/>
      <c r="DI52" s="526"/>
      <c r="DJ52" s="526"/>
      <c r="DK52" s="526"/>
      <c r="DL52" s="526"/>
      <c r="DM52" s="526"/>
      <c r="DN52" s="526"/>
      <c r="DO52" s="526"/>
      <c r="DP52" s="526"/>
      <c r="DQ52" s="526"/>
      <c r="DR52" s="526"/>
      <c r="DS52" s="526"/>
      <c r="DT52" s="526"/>
      <c r="DU52" s="526"/>
      <c r="DV52" s="526"/>
      <c r="DW52" s="526"/>
      <c r="DX52" s="526"/>
      <c r="DY52" s="526"/>
      <c r="DZ52" s="526"/>
      <c r="EA52" s="526"/>
      <c r="EB52" s="526"/>
      <c r="EC52" s="526"/>
      <c r="ED52" s="526"/>
      <c r="EE52" s="526"/>
      <c r="EF52" s="526"/>
      <c r="EG52" s="526"/>
      <c r="EH52" s="526"/>
      <c r="EI52" s="526"/>
      <c r="EJ52" s="526"/>
      <c r="EK52" s="526"/>
      <c r="EL52" s="526"/>
      <c r="EM52" s="526"/>
      <c r="EN52" s="526"/>
      <c r="EO52" s="526"/>
      <c r="EP52" s="526"/>
      <c r="EQ52" s="526"/>
      <c r="ER52" s="526"/>
      <c r="ES52" s="526"/>
      <c r="ET52" s="526"/>
      <c r="EU52" s="526"/>
      <c r="EV52" s="526"/>
      <c r="EW52" s="526"/>
      <c r="EX52" s="526"/>
      <c r="EY52" s="526"/>
      <c r="EZ52" s="526"/>
      <c r="FA52" s="526"/>
      <c r="FB52" s="526"/>
      <c r="FC52" s="526"/>
      <c r="FD52" s="526"/>
      <c r="FE52" s="526"/>
      <c r="FF52" s="526"/>
      <c r="FG52" s="526"/>
      <c r="FH52" s="526"/>
      <c r="FI52" s="526"/>
      <c r="FJ52" s="526"/>
      <c r="FK52" s="526"/>
      <c r="FL52" s="526"/>
      <c r="FM52" s="526"/>
      <c r="FN52" s="526"/>
      <c r="FO52" s="526"/>
      <c r="FP52" s="526"/>
      <c r="FQ52" s="526"/>
      <c r="FR52" s="526"/>
      <c r="FS52" s="526"/>
      <c r="FT52" s="526"/>
      <c r="FU52" s="526"/>
      <c r="FV52" s="526"/>
      <c r="FW52" s="526"/>
      <c r="FX52" s="526"/>
      <c r="FY52" s="526"/>
      <c r="FZ52" s="526"/>
      <c r="GA52" s="526"/>
      <c r="GB52" s="526"/>
      <c r="GC52" s="526"/>
      <c r="GD52" s="526"/>
      <c r="GE52" s="526"/>
      <c r="GF52" s="526"/>
      <c r="GG52" s="526"/>
      <c r="GH52" s="526"/>
      <c r="GI52" s="526"/>
      <c r="GJ52" s="526"/>
      <c r="GK52" s="526"/>
      <c r="GL52" s="526"/>
      <c r="GM52" s="526"/>
      <c r="GN52" s="526"/>
      <c r="GO52" s="526"/>
      <c r="GP52" s="526"/>
      <c r="GQ52" s="526"/>
      <c r="GR52" s="526"/>
      <c r="GS52" s="526"/>
      <c r="GT52" s="526"/>
      <c r="GU52" s="526"/>
      <c r="GV52" s="526"/>
      <c r="GW52" s="526"/>
      <c r="GX52" s="526"/>
      <c r="GY52" s="526"/>
      <c r="GZ52" s="526"/>
      <c r="HA52" s="526"/>
      <c r="HB52" s="526"/>
      <c r="HC52" s="526"/>
      <c r="HD52" s="526"/>
      <c r="HE52" s="526"/>
      <c r="HF52" s="526"/>
      <c r="HG52" s="526"/>
      <c r="HH52" s="526"/>
      <c r="HI52" s="526"/>
      <c r="HJ52" s="526"/>
      <c r="HK52" s="526"/>
      <c r="HL52" s="526"/>
      <c r="HM52" s="526"/>
      <c r="HN52" s="526"/>
      <c r="HO52" s="526"/>
      <c r="HP52" s="526"/>
      <c r="HQ52" s="526"/>
      <c r="HR52" s="526"/>
      <c r="HS52" s="526"/>
      <c r="HT52" s="526"/>
      <c r="HU52" s="526"/>
      <c r="HV52" s="526"/>
      <c r="HW52" s="526"/>
      <c r="HX52" s="526"/>
      <c r="HY52" s="526"/>
      <c r="HZ52" s="526"/>
      <c r="IA52" s="526"/>
      <c r="IB52" s="526"/>
      <c r="IC52" s="526"/>
      <c r="ID52" s="526"/>
      <c r="IE52" s="526"/>
      <c r="IF52" s="526"/>
      <c r="IG52" s="526"/>
      <c r="IH52" s="526"/>
      <c r="II52" s="526"/>
      <c r="IJ52" s="526"/>
      <c r="IK52" s="526"/>
      <c r="IL52" s="526"/>
      <c r="IM52" s="526"/>
      <c r="IN52" s="526"/>
      <c r="IO52" s="526"/>
      <c r="IP52" s="526"/>
      <c r="IQ52" s="526"/>
      <c r="IR52" s="526"/>
      <c r="IS52" s="526"/>
      <c r="IT52" s="526"/>
      <c r="IU52" s="526"/>
    </row>
    <row r="53" spans="1:255" ht="14.25">
      <c r="A53" s="549" t="s">
        <v>10</v>
      </c>
      <c r="B53" s="2362" t="s">
        <v>77</v>
      </c>
      <c r="C53" s="2362"/>
      <c r="D53" s="2362"/>
      <c r="E53" s="2362"/>
      <c r="F53" s="2363"/>
      <c r="G53" s="544"/>
      <c r="H53" s="544"/>
      <c r="M53" s="544"/>
      <c r="N53" s="544"/>
      <c r="O53" s="544"/>
    </row>
    <row r="54" spans="1:255" ht="15">
      <c r="A54" s="545" t="s">
        <v>141</v>
      </c>
      <c r="B54" s="264" t="s">
        <v>662</v>
      </c>
      <c r="C54" s="557" t="s">
        <v>84</v>
      </c>
      <c r="D54" s="558">
        <f>C7</f>
        <v>10</v>
      </c>
      <c r="E54" s="275">
        <f>'№8.1.2 Амортизация БО'!H13</f>
        <v>0</v>
      </c>
      <c r="F54" s="568">
        <f>ROUND(D54*E54,2)</f>
        <v>0</v>
      </c>
      <c r="G54" s="544"/>
      <c r="H54" s="544"/>
      <c r="M54" s="544"/>
      <c r="N54" s="544"/>
      <c r="O54" s="544"/>
    </row>
    <row r="55" spans="1:255" ht="15">
      <c r="A55" s="545" t="s">
        <v>142</v>
      </c>
      <c r="B55" s="265" t="s">
        <v>663</v>
      </c>
      <c r="C55" s="557" t="s">
        <v>84</v>
      </c>
      <c r="D55" s="558">
        <f>C7</f>
        <v>10</v>
      </c>
      <c r="E55" s="275">
        <f>' № 8.1.3 Амортизация БХ'!H23</f>
        <v>0</v>
      </c>
      <c r="F55" s="568">
        <f>ROUND(D55*E55,2)</f>
        <v>0</v>
      </c>
      <c r="G55" s="544"/>
      <c r="H55" s="544"/>
      <c r="M55" s="544"/>
      <c r="N55" s="544"/>
      <c r="O55" s="544"/>
    </row>
    <row r="56" spans="1:255" ht="15">
      <c r="A56" s="545"/>
      <c r="B56" s="524" t="s">
        <v>20</v>
      </c>
      <c r="C56" s="524"/>
      <c r="D56" s="550"/>
      <c r="E56" s="524"/>
      <c r="F56" s="522"/>
      <c r="G56" s="544"/>
      <c r="H56" s="544"/>
      <c r="M56" s="544"/>
      <c r="N56" s="544"/>
      <c r="O56" s="544"/>
    </row>
    <row r="57" spans="1:255" ht="15">
      <c r="A57" s="549"/>
      <c r="B57" s="551" t="s">
        <v>86</v>
      </c>
      <c r="C57" s="523"/>
      <c r="D57" s="550"/>
      <c r="E57" s="524"/>
      <c r="F57" s="569">
        <f>SUM(F54:F56)</f>
        <v>0</v>
      </c>
      <c r="G57" s="544"/>
      <c r="H57" s="544"/>
      <c r="M57" s="544"/>
      <c r="N57" s="544"/>
      <c r="O57" s="544"/>
    </row>
    <row r="58" spans="1:255" ht="15">
      <c r="A58" s="549" t="s">
        <v>11</v>
      </c>
      <c r="B58" s="570" t="s">
        <v>107</v>
      </c>
      <c r="C58" s="523"/>
      <c r="D58" s="550"/>
      <c r="E58" s="524"/>
      <c r="F58" s="571" t="e">
        <f>F18+F39+F51+F52+F57+F24</f>
        <v>#REF!</v>
      </c>
      <c r="G58" s="544"/>
      <c r="H58" s="544"/>
      <c r="M58" s="544"/>
      <c r="N58" s="544"/>
      <c r="O58" s="544"/>
    </row>
    <row r="59" spans="1:255" ht="28.5">
      <c r="A59" s="572" t="s">
        <v>12</v>
      </c>
      <c r="B59" s="573" t="s">
        <v>135</v>
      </c>
      <c r="C59" s="523"/>
      <c r="D59" s="550"/>
      <c r="E59" s="524"/>
      <c r="F59" s="569" t="e">
        <f>ROUND(F18*0.72,2)</f>
        <v>#REF!</v>
      </c>
      <c r="G59" s="544"/>
      <c r="H59" s="544"/>
      <c r="M59" s="544"/>
      <c r="N59" s="544"/>
      <c r="O59" s="544"/>
    </row>
    <row r="60" spans="1:255" ht="15">
      <c r="A60" s="549" t="s">
        <v>13</v>
      </c>
      <c r="B60" s="573" t="s">
        <v>137</v>
      </c>
      <c r="C60" s="523"/>
      <c r="D60" s="550"/>
      <c r="E60" s="524"/>
      <c r="F60" s="569" t="e">
        <f>ROUND(F18*0.48,2)</f>
        <v>#REF!</v>
      </c>
      <c r="G60" s="544"/>
      <c r="H60" s="544"/>
      <c r="M60" s="544"/>
      <c r="N60" s="544"/>
      <c r="O60" s="544"/>
    </row>
    <row r="61" spans="1:255" ht="15">
      <c r="A61" s="574"/>
      <c r="B61" s="575" t="s">
        <v>26</v>
      </c>
      <c r="C61" s="576"/>
      <c r="D61" s="577"/>
      <c r="E61" s="576"/>
      <c r="F61" s="578" t="e">
        <f>ROUND((F58+F59+F60),2)</f>
        <v>#REF!</v>
      </c>
      <c r="G61" s="544"/>
      <c r="H61" s="544"/>
      <c r="M61" s="544"/>
      <c r="N61" s="544"/>
      <c r="O61" s="544"/>
    </row>
    <row r="62" spans="1:255" ht="15">
      <c r="A62" s="574"/>
      <c r="B62" s="575" t="s">
        <v>401</v>
      </c>
      <c r="C62" s="576"/>
      <c r="D62" s="577"/>
      <c r="E62" s="576"/>
      <c r="F62" s="578" t="e">
        <f>ROUND((F61*0.2),2)</f>
        <v>#REF!</v>
      </c>
      <c r="G62" s="544"/>
      <c r="H62" s="544"/>
      <c r="M62" s="544"/>
      <c r="N62" s="544"/>
      <c r="O62" s="544"/>
    </row>
    <row r="63" spans="1:255" ht="15.75" thickBot="1">
      <c r="A63" s="579"/>
      <c r="B63" s="580" t="s">
        <v>31</v>
      </c>
      <c r="C63" s="581"/>
      <c r="D63" s="582"/>
      <c r="E63" s="581"/>
      <c r="F63" s="583" t="e">
        <f>F61+F62</f>
        <v>#REF!</v>
      </c>
      <c r="G63" s="544"/>
      <c r="H63" s="544"/>
      <c r="M63" s="544"/>
      <c r="N63" s="544"/>
      <c r="O63" s="544"/>
    </row>
    <row r="64" spans="1:255" ht="15">
      <c r="A64" s="584"/>
      <c r="B64" s="585"/>
      <c r="C64" s="586"/>
      <c r="D64" s="587"/>
      <c r="E64" s="586"/>
      <c r="F64" s="588"/>
    </row>
    <row r="68" spans="1:6" s="525" customFormat="1" ht="59.25" customHeight="1">
      <c r="A68" s="531"/>
      <c r="B68" s="589" t="e">
        <f>#REF!</f>
        <v>#REF!</v>
      </c>
      <c r="C68" s="531"/>
      <c r="D68" s="590"/>
      <c r="E68" s="2359" t="e">
        <f>#REF!</f>
        <v>#REF!</v>
      </c>
      <c r="F68" s="2359"/>
    </row>
    <row r="69" spans="1:6" s="525" customFormat="1" ht="15">
      <c r="A69" s="531"/>
      <c r="B69" s="591" t="s">
        <v>126</v>
      </c>
      <c r="C69" s="592"/>
      <c r="D69" s="593" t="s">
        <v>124</v>
      </c>
      <c r="E69" s="594" t="s">
        <v>127</v>
      </c>
      <c r="F69" s="594"/>
    </row>
    <row r="70" spans="1:6" s="525" customFormat="1" ht="15">
      <c r="A70" s="595"/>
      <c r="B70" s="531"/>
      <c r="C70" s="531"/>
      <c r="D70" s="596"/>
      <c r="E70" s="531"/>
      <c r="F70" s="531"/>
    </row>
  </sheetData>
  <mergeCells count="21">
    <mergeCell ref="F8:F9"/>
    <mergeCell ref="A1:F1"/>
    <mergeCell ref="A2:F2"/>
    <mergeCell ref="A4:B4"/>
    <mergeCell ref="C4:E4"/>
    <mergeCell ref="A5:B5"/>
    <mergeCell ref="C5:E5"/>
    <mergeCell ref="A8:A9"/>
    <mergeCell ref="B8:B9"/>
    <mergeCell ref="C8:C9"/>
    <mergeCell ref="D8:D9"/>
    <mergeCell ref="E8:E9"/>
    <mergeCell ref="E68:F68"/>
    <mergeCell ref="C41:F41"/>
    <mergeCell ref="B53:F53"/>
    <mergeCell ref="B11:F11"/>
    <mergeCell ref="B19:F19"/>
    <mergeCell ref="C20:F20"/>
    <mergeCell ref="B25:F25"/>
    <mergeCell ref="D26:F26"/>
    <mergeCell ref="B40:F40"/>
  </mergeCells>
  <pageMargins left="1.1811023622047245" right="0.39370078740157483" top="0.39370078740157483" bottom="0.39370078740157483" header="0" footer="0"/>
  <pageSetup paperSize="9" scale="81" fitToHeight="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99"/>
  <sheetViews>
    <sheetView topLeftCell="A60" zoomScaleNormal="100" workbookViewId="0">
      <selection activeCell="L79" sqref="L79"/>
    </sheetView>
  </sheetViews>
  <sheetFormatPr defaultRowHeight="12.75"/>
  <cols>
    <col min="1" max="1" width="3.85546875" style="3" customWidth="1"/>
    <col min="2" max="2" width="9" customWidth="1"/>
    <col min="3" max="3" width="11.7109375" customWidth="1"/>
    <col min="4" max="4" width="42.140625" customWidth="1"/>
    <col min="5" max="5" width="16" style="1063" customWidth="1"/>
    <col min="6" max="6" width="15.85546875" style="1063" customWidth="1"/>
    <col min="7" max="7" width="13.28515625" style="1063" customWidth="1"/>
    <col min="8" max="8" width="14.140625" style="1063" customWidth="1"/>
    <col min="9" max="10" width="14.140625" style="1063" hidden="1" customWidth="1"/>
    <col min="11" max="11" width="15.42578125" style="1063" hidden="1" customWidth="1"/>
    <col min="12" max="12" width="16.28515625" style="1063" customWidth="1"/>
    <col min="13" max="13" width="13.7109375" customWidth="1"/>
  </cols>
  <sheetData>
    <row r="1" spans="1:13" ht="13.7" customHeight="1">
      <c r="F1" s="1167"/>
      <c r="G1" s="1167"/>
      <c r="H1" s="1167"/>
      <c r="I1" s="1167"/>
      <c r="J1" s="1167"/>
      <c r="K1" s="1167"/>
      <c r="L1" s="1167"/>
      <c r="M1" s="429" t="s">
        <v>389</v>
      </c>
    </row>
    <row r="3" spans="1:13" s="4" customFormat="1" ht="16.5">
      <c r="A3" s="2417" t="s">
        <v>390</v>
      </c>
      <c r="B3" s="2417"/>
      <c r="C3" s="2417"/>
      <c r="D3" s="2417"/>
      <c r="E3" s="2417"/>
      <c r="F3" s="2417"/>
      <c r="G3" s="2417"/>
      <c r="H3" s="2417"/>
      <c r="I3" s="2417"/>
      <c r="J3" s="2417"/>
      <c r="K3" s="2417"/>
      <c r="L3" s="2417"/>
      <c r="M3" s="2417"/>
    </row>
    <row r="4" spans="1:13" s="4" customFormat="1" ht="19.5" customHeight="1">
      <c r="A4" s="2418" t="s">
        <v>1286</v>
      </c>
      <c r="B4" s="2418"/>
      <c r="C4" s="2418"/>
      <c r="D4" s="2418"/>
      <c r="E4" s="2418"/>
      <c r="F4" s="2418"/>
      <c r="G4" s="2418"/>
      <c r="H4" s="2418"/>
      <c r="I4" s="2418"/>
      <c r="J4" s="2418"/>
      <c r="K4" s="2418"/>
      <c r="L4" s="2418"/>
      <c r="M4" s="2418"/>
    </row>
    <row r="5" spans="1:13" s="4" customFormat="1" ht="20.25" customHeight="1">
      <c r="A5" s="516"/>
      <c r="B5" s="516"/>
      <c r="C5" s="516"/>
      <c r="D5" s="516"/>
      <c r="E5" s="1168"/>
      <c r="F5" s="1168"/>
      <c r="G5" s="1168"/>
      <c r="H5" s="1168"/>
      <c r="I5" s="1168"/>
      <c r="J5" s="1168"/>
      <c r="K5" s="1168"/>
      <c r="L5" s="1168"/>
      <c r="M5" s="516"/>
    </row>
    <row r="6" spans="1:13" s="484" customFormat="1" ht="20.25" hidden="1" customHeight="1" thickTop="1" thickBot="1">
      <c r="A6" s="482"/>
      <c r="B6" s="516" t="s">
        <v>391</v>
      </c>
      <c r="C6" s="517"/>
      <c r="D6" s="483">
        <f>'Комм пред '!C5</f>
        <v>0</v>
      </c>
      <c r="E6" s="1169"/>
      <c r="F6" s="1169"/>
      <c r="G6" s="1169"/>
      <c r="H6" s="1169"/>
      <c r="I6" s="1169"/>
      <c r="J6" s="1169"/>
      <c r="K6" s="1169"/>
      <c r="L6" s="1169"/>
      <c r="M6" s="482"/>
    </row>
    <row r="7" spans="1:13" s="484" customFormat="1" ht="16.5" hidden="1">
      <c r="A7" s="482"/>
      <c r="B7" s="482"/>
      <c r="C7" s="482"/>
      <c r="D7" s="482"/>
      <c r="E7" s="1169"/>
      <c r="F7" s="1169"/>
      <c r="G7" s="1169"/>
      <c r="H7" s="1169"/>
      <c r="I7" s="1169"/>
      <c r="J7" s="1169"/>
      <c r="K7" s="1169"/>
      <c r="L7" s="1169"/>
      <c r="M7" s="482"/>
    </row>
    <row r="8" spans="1:13" s="484" customFormat="1" ht="18" hidden="1" thickTop="1" thickBot="1">
      <c r="A8" s="482"/>
      <c r="B8" s="2419" t="s">
        <v>386</v>
      </c>
      <c r="C8" s="2419"/>
      <c r="D8" s="2420">
        <f>'Комм пред '!C7</f>
        <v>0</v>
      </c>
      <c r="E8" s="2421"/>
      <c r="F8" s="1169"/>
      <c r="G8" s="1169"/>
      <c r="H8" s="1169"/>
      <c r="I8" s="1169"/>
      <c r="J8" s="1169"/>
      <c r="K8" s="1169"/>
      <c r="L8" s="1169"/>
      <c r="M8" s="482"/>
    </row>
    <row r="9" spans="1:13" s="4" customFormat="1" ht="16.5">
      <c r="A9" s="480"/>
      <c r="B9" s="480"/>
      <c r="C9" s="480"/>
      <c r="D9" s="482"/>
      <c r="E9" s="1170"/>
      <c r="F9" s="1170"/>
      <c r="G9" s="1170"/>
      <c r="H9" s="1170"/>
      <c r="I9" s="1170"/>
      <c r="J9" s="1170"/>
      <c r="K9" s="1170"/>
      <c r="L9" s="1170"/>
      <c r="M9" s="480"/>
    </row>
    <row r="10" spans="1:13" s="486" customFormat="1" ht="15.75">
      <c r="A10" s="2422" t="s">
        <v>392</v>
      </c>
      <c r="B10" s="2422"/>
      <c r="C10" s="2422"/>
      <c r="D10" s="2422"/>
      <c r="E10" s="1768" t="e">
        <f>'Хим. скв 45'!#REF!</f>
        <v>#REF!</v>
      </c>
      <c r="F10" s="1171"/>
      <c r="G10" s="1171"/>
      <c r="H10" s="1171"/>
      <c r="I10" s="1171"/>
      <c r="J10" s="1171"/>
      <c r="K10" s="1171"/>
      <c r="L10" s="1171"/>
      <c r="M10" s="485"/>
    </row>
    <row r="11" spans="1:13" s="486" customFormat="1" ht="16.5" thickBot="1">
      <c r="A11" s="492"/>
      <c r="B11" s="492"/>
      <c r="C11" s="492"/>
      <c r="D11" s="492"/>
      <c r="E11" s="1171"/>
      <c r="F11" s="1171"/>
      <c r="G11" s="1171"/>
      <c r="H11" s="1171"/>
      <c r="I11" s="1171"/>
      <c r="J11" s="1171"/>
      <c r="K11" s="1171"/>
      <c r="L11" s="1171"/>
      <c r="M11" s="485"/>
    </row>
    <row r="12" spans="1:13" s="4" customFormat="1" ht="17.25" thickTop="1" thickBot="1">
      <c r="A12" s="2423" t="s">
        <v>393</v>
      </c>
      <c r="B12" s="2423"/>
      <c r="C12" s="2423"/>
      <c r="D12" s="2423"/>
      <c r="E12" s="498"/>
      <c r="F12" s="1172" t="s">
        <v>66</v>
      </c>
      <c r="G12" s="1173"/>
      <c r="H12" s="1173"/>
      <c r="I12" s="1173"/>
      <c r="J12" s="1173"/>
      <c r="K12" s="1173"/>
      <c r="L12" s="1173"/>
      <c r="M12" s="487"/>
    </row>
    <row r="13" spans="1:13" s="4" customFormat="1" ht="17.25" thickTop="1" thickBot="1">
      <c r="A13" s="493"/>
      <c r="B13" s="493"/>
      <c r="C13" s="493"/>
      <c r="D13" s="493"/>
      <c r="E13" s="1174"/>
      <c r="F13" s="1173"/>
      <c r="G13" s="1173"/>
      <c r="H13" s="1173"/>
      <c r="I13" s="1173"/>
      <c r="J13" s="1173"/>
      <c r="K13" s="1173"/>
      <c r="L13" s="1173"/>
      <c r="M13" s="487"/>
    </row>
    <row r="14" spans="1:13" s="4" customFormat="1" ht="17.25" thickTop="1" thickBot="1">
      <c r="A14" s="2424" t="s">
        <v>394</v>
      </c>
      <c r="B14" s="2424"/>
      <c r="C14" s="2424"/>
      <c r="D14" s="2424"/>
      <c r="E14" s="498"/>
      <c r="F14" s="1172" t="s">
        <v>301</v>
      </c>
      <c r="G14" s="1173"/>
      <c r="H14" s="1173"/>
      <c r="I14" s="1173"/>
      <c r="J14" s="1173"/>
      <c r="K14" s="1173"/>
      <c r="L14" s="1173"/>
      <c r="M14" s="487"/>
    </row>
    <row r="15" spans="1:13" s="4" customFormat="1" ht="16.5" hidden="1" thickTop="1">
      <c r="A15" s="2425" t="s">
        <v>339</v>
      </c>
      <c r="B15" s="2425"/>
      <c r="C15" s="2425"/>
      <c r="D15" s="494"/>
      <c r="E15" s="1175"/>
      <c r="F15" s="1173"/>
      <c r="G15" s="1173"/>
      <c r="H15" s="1173"/>
      <c r="I15" s="1173"/>
      <c r="J15" s="1173"/>
      <c r="K15" s="1173"/>
      <c r="L15" s="1173"/>
      <c r="M15" s="487"/>
    </row>
    <row r="16" spans="1:13" s="489" customFormat="1" ht="17.25" hidden="1" thickTop="1" thickBot="1">
      <c r="A16" s="496"/>
      <c r="B16" s="2426" t="s">
        <v>387</v>
      </c>
      <c r="C16" s="2426"/>
      <c r="D16" s="2426"/>
      <c r="E16" s="498">
        <f>'Расчет ННБ'!E19</f>
        <v>1095</v>
      </c>
      <c r="F16" s="1171" t="s">
        <v>1</v>
      </c>
      <c r="G16" s="1176"/>
      <c r="H16" s="1176"/>
      <c r="I16" s="1176"/>
      <c r="J16" s="1176"/>
      <c r="K16" s="1176"/>
      <c r="L16" s="1176"/>
      <c r="M16" s="488"/>
    </row>
    <row r="17" spans="1:13" s="489" customFormat="1" ht="17.25" thickTop="1" thickBot="1">
      <c r="A17" s="496"/>
      <c r="B17" s="497"/>
      <c r="C17" s="497"/>
      <c r="D17" s="497"/>
      <c r="E17" s="1175"/>
      <c r="F17" s="1176"/>
      <c r="G17" s="1176"/>
      <c r="H17" s="1176"/>
      <c r="I17" s="1176"/>
      <c r="J17" s="1176"/>
      <c r="K17" s="1176"/>
      <c r="L17" s="1176"/>
      <c r="M17" s="488"/>
    </row>
    <row r="18" spans="1:13" s="489" customFormat="1" ht="17.25" thickTop="1" thickBot="1">
      <c r="A18" s="2424" t="s">
        <v>1230</v>
      </c>
      <c r="B18" s="2424"/>
      <c r="C18" s="2424"/>
      <c r="D18" s="2424"/>
      <c r="E18" s="498"/>
      <c r="F18" s="1171" t="s">
        <v>301</v>
      </c>
      <c r="G18" s="1176"/>
      <c r="H18" s="1176"/>
      <c r="I18" s="1176"/>
      <c r="J18" s="1176"/>
      <c r="K18" s="1176"/>
      <c r="L18" s="1176"/>
      <c r="M18" s="488"/>
    </row>
    <row r="19" spans="1:13" s="4" customFormat="1" ht="17.25" thickTop="1" thickBot="1">
      <c r="A19" s="2416" t="s">
        <v>603</v>
      </c>
      <c r="B19" s="2416"/>
      <c r="C19" s="2416"/>
      <c r="D19" s="2416"/>
      <c r="E19" s="2416"/>
      <c r="F19" s="1177"/>
      <c r="G19" s="1766" t="s">
        <v>72</v>
      </c>
      <c r="H19" s="1178"/>
      <c r="I19" s="1178"/>
      <c r="J19" s="1178"/>
      <c r="K19" s="1178"/>
      <c r="L19" s="1178"/>
      <c r="M19" s="490"/>
    </row>
    <row r="20" spans="1:13" s="4" customFormat="1" ht="16.5" hidden="1" thickTop="1">
      <c r="A20" s="2427" t="s">
        <v>339</v>
      </c>
      <c r="B20" s="2427"/>
      <c r="C20" s="1262"/>
      <c r="D20" s="1262"/>
      <c r="E20" s="1290"/>
      <c r="F20" s="1262"/>
      <c r="G20" s="1178"/>
      <c r="H20" s="1178"/>
      <c r="I20" s="1178"/>
      <c r="J20" s="1178"/>
      <c r="K20" s="1178"/>
      <c r="L20" s="1178"/>
      <c r="M20" s="490"/>
    </row>
    <row r="21" spans="1:13" s="4" customFormat="1" ht="17.25" hidden="1" thickTop="1" thickBot="1">
      <c r="A21" s="1264"/>
      <c r="B21" s="1263" t="s">
        <v>800</v>
      </c>
      <c r="C21" s="1263"/>
      <c r="D21" s="1263"/>
      <c r="E21" s="1263"/>
      <c r="F21" s="1291">
        <f>E37</f>
        <v>0</v>
      </c>
      <c r="G21" s="1178"/>
      <c r="H21" s="1178"/>
      <c r="I21" s="1178"/>
      <c r="J21" s="1178"/>
      <c r="K21" s="1178"/>
      <c r="L21" s="1178"/>
      <c r="M21" s="490"/>
    </row>
    <row r="22" spans="1:13" s="4" customFormat="1" ht="17.25" hidden="1" thickTop="1" thickBot="1">
      <c r="A22" s="1264"/>
      <c r="B22" s="1263" t="s">
        <v>801</v>
      </c>
      <c r="C22" s="1263"/>
      <c r="D22" s="1263"/>
      <c r="E22" s="1263"/>
      <c r="F22" s="1291">
        <f>G37</f>
        <v>0</v>
      </c>
      <c r="G22" s="1178"/>
      <c r="H22" s="1178"/>
      <c r="I22" s="1178"/>
      <c r="J22" s="1178"/>
      <c r="K22" s="1178"/>
      <c r="L22" s="1178"/>
      <c r="M22" s="490"/>
    </row>
    <row r="23" spans="1:13" s="4" customFormat="1" ht="17.25" hidden="1" thickTop="1" thickBot="1">
      <c r="A23" s="1264"/>
      <c r="B23" s="1263" t="s">
        <v>802</v>
      </c>
      <c r="C23" s="1263"/>
      <c r="D23" s="1263"/>
      <c r="E23" s="1263"/>
      <c r="F23" s="1291">
        <f>I37</f>
        <v>0</v>
      </c>
      <c r="G23" s="1178"/>
      <c r="H23" s="1178"/>
      <c r="I23" s="1178"/>
      <c r="J23" s="1178"/>
      <c r="K23" s="1178"/>
      <c r="L23" s="1178"/>
      <c r="M23" s="490"/>
    </row>
    <row r="24" spans="1:13" s="4" customFormat="1" ht="17.25" hidden="1" thickTop="1" thickBot="1">
      <c r="A24" s="1264"/>
      <c r="B24" s="1263" t="s">
        <v>803</v>
      </c>
      <c r="C24" s="1263"/>
      <c r="D24" s="1263"/>
      <c r="E24" s="1263"/>
      <c r="F24" s="1291">
        <f>F37</f>
        <v>0</v>
      </c>
      <c r="G24" s="1178"/>
      <c r="H24" s="1178"/>
      <c r="I24" s="1178"/>
      <c r="J24" s="1178"/>
      <c r="K24" s="1178"/>
      <c r="L24" s="1178"/>
      <c r="M24" s="490"/>
    </row>
    <row r="25" spans="1:13" s="4" customFormat="1" ht="16.5" thickTop="1">
      <c r="A25" s="2427"/>
      <c r="B25" s="2427"/>
      <c r="C25" s="1262"/>
      <c r="D25" s="1262"/>
      <c r="E25" s="1290"/>
      <c r="F25" s="1262"/>
      <c r="G25" s="1178"/>
      <c r="H25" s="1178"/>
      <c r="I25" s="1178"/>
      <c r="J25" s="1178"/>
      <c r="K25" s="1178"/>
      <c r="L25" s="1178"/>
      <c r="M25" s="490"/>
    </row>
    <row r="26" spans="1:13" s="4" customFormat="1" ht="17.25" hidden="1" thickTop="1" thickBot="1">
      <c r="A26" s="1264"/>
      <c r="B26" s="1263" t="s">
        <v>804</v>
      </c>
      <c r="C26" s="1263"/>
      <c r="D26" s="1263"/>
      <c r="E26" s="1263"/>
      <c r="F26" s="1291"/>
      <c r="G26" s="1178"/>
      <c r="H26" s="1178"/>
      <c r="I26" s="1178"/>
      <c r="J26" s="1178"/>
      <c r="K26" s="1178"/>
      <c r="L26" s="1178"/>
      <c r="M26" s="490"/>
    </row>
    <row r="27" spans="1:13" s="4" customFormat="1" ht="17.25" hidden="1" thickTop="1" thickBot="1">
      <c r="A27" s="1264"/>
      <c r="B27" s="1263"/>
      <c r="C27" s="1263"/>
      <c r="D27" s="1263"/>
      <c r="E27" s="1263"/>
      <c r="F27" s="1291"/>
      <c r="G27" s="1178"/>
      <c r="H27" s="1178"/>
      <c r="I27" s="1178"/>
      <c r="J27" s="1178"/>
      <c r="K27" s="1178"/>
      <c r="L27" s="1178"/>
      <c r="M27" s="490"/>
    </row>
    <row r="28" spans="1:13" s="4" customFormat="1" ht="17.25" hidden="1" thickTop="1" thickBot="1">
      <c r="A28" s="1264"/>
      <c r="B28" s="1263" t="s">
        <v>805</v>
      </c>
      <c r="C28" s="1263"/>
      <c r="D28" s="1263"/>
      <c r="E28" s="1263"/>
      <c r="F28" s="1291"/>
      <c r="G28" s="1178"/>
      <c r="H28" s="1178"/>
      <c r="I28" s="1178"/>
      <c r="J28" s="1178"/>
      <c r="K28" s="1178"/>
      <c r="L28" s="1178"/>
      <c r="M28" s="490"/>
    </row>
    <row r="29" spans="1:13" s="4" customFormat="1" ht="17.25" hidden="1" thickTop="1" thickBot="1">
      <c r="A29" s="1264"/>
      <c r="B29" s="1263" t="s">
        <v>806</v>
      </c>
      <c r="C29" s="1263"/>
      <c r="D29" s="1263"/>
      <c r="E29" s="1263"/>
      <c r="F29" s="1291"/>
      <c r="G29" s="1178"/>
      <c r="H29" s="1178"/>
      <c r="I29" s="1178"/>
      <c r="J29" s="1178"/>
      <c r="K29" s="1178"/>
      <c r="L29" s="1178"/>
      <c r="M29" s="490"/>
    </row>
    <row r="30" spans="1:13" s="4" customFormat="1" ht="16.5" thickBot="1">
      <c r="A30" s="1264"/>
      <c r="B30" s="1263"/>
      <c r="C30" s="1263"/>
      <c r="D30" s="1263"/>
      <c r="E30" s="1263"/>
      <c r="F30" s="1178"/>
      <c r="G30" s="1178"/>
      <c r="H30" s="1178"/>
      <c r="I30" s="1178"/>
      <c r="J30" s="1178"/>
      <c r="K30" s="1178"/>
      <c r="L30" s="1178"/>
      <c r="M30" s="490"/>
    </row>
    <row r="31" spans="1:13" s="486" customFormat="1" ht="17.25" thickTop="1" thickBot="1">
      <c r="A31" s="2415" t="s">
        <v>324</v>
      </c>
      <c r="B31" s="2415"/>
      <c r="C31" s="2415"/>
      <c r="D31" s="2415"/>
      <c r="E31" s="498" t="e">
        <f>E14*30.4/(F19)</f>
        <v>#DIV/0!</v>
      </c>
      <c r="F31" s="1171" t="s">
        <v>323</v>
      </c>
      <c r="G31" s="1171"/>
      <c r="H31" s="1171"/>
      <c r="I31" s="1171"/>
      <c r="J31" s="1171"/>
      <c r="K31" s="1171"/>
      <c r="L31" s="1171"/>
      <c r="M31" s="491"/>
    </row>
    <row r="32" spans="1:13" s="4" customFormat="1" ht="17.25" thickTop="1" thickBot="1">
      <c r="A32" s="16"/>
      <c r="B32" s="15"/>
      <c r="C32" s="15"/>
      <c r="D32" s="15"/>
      <c r="E32" s="1179"/>
      <c r="F32" s="1179"/>
      <c r="G32" s="1179"/>
      <c r="H32" s="1179"/>
      <c r="I32" s="1179"/>
      <c r="J32" s="1179"/>
      <c r="K32" s="1179"/>
      <c r="L32" s="1179"/>
      <c r="M32" s="15"/>
    </row>
    <row r="33" spans="1:13" s="17" customFormat="1" ht="15">
      <c r="A33" s="2407" t="s">
        <v>110</v>
      </c>
      <c r="B33" s="2409" t="s">
        <v>34</v>
      </c>
      <c r="C33" s="2409"/>
      <c r="D33" s="2409"/>
      <c r="E33" s="2412" t="s">
        <v>111</v>
      </c>
      <c r="F33" s="2413"/>
      <c r="G33" s="2413"/>
      <c r="H33" s="2413"/>
      <c r="I33" s="2413"/>
      <c r="J33" s="2413"/>
      <c r="K33" s="2414"/>
      <c r="L33" s="2402" t="s">
        <v>183</v>
      </c>
      <c r="M33" s="2405" t="s">
        <v>90</v>
      </c>
    </row>
    <row r="34" spans="1:13" s="17" customFormat="1" ht="15">
      <c r="A34" s="2408"/>
      <c r="B34" s="2410"/>
      <c r="C34" s="2410"/>
      <c r="D34" s="2410"/>
      <c r="E34" s="2397" t="s">
        <v>151</v>
      </c>
      <c r="F34" s="2397"/>
      <c r="G34" s="2397"/>
      <c r="H34" s="2397"/>
      <c r="I34" s="2397"/>
      <c r="J34" s="2397"/>
      <c r="K34" s="2397"/>
      <c r="L34" s="2403"/>
      <c r="M34" s="2406"/>
    </row>
    <row r="35" spans="1:13" s="17" customFormat="1" ht="67.5">
      <c r="A35" s="2408"/>
      <c r="B35" s="2410"/>
      <c r="C35" s="2410"/>
      <c r="D35" s="2410"/>
      <c r="E35" s="2397"/>
      <c r="F35" s="1180" t="s">
        <v>1240</v>
      </c>
      <c r="G35" s="1765" t="s">
        <v>1245</v>
      </c>
      <c r="H35" s="1765" t="s">
        <v>1246</v>
      </c>
      <c r="I35" s="1765" t="s">
        <v>1227</v>
      </c>
      <c r="J35" s="1765" t="s">
        <v>1228</v>
      </c>
      <c r="K35" s="1180" t="s">
        <v>1229</v>
      </c>
      <c r="L35" s="2404"/>
      <c r="M35" s="2406"/>
    </row>
    <row r="36" spans="1:13" s="20" customFormat="1" ht="13.5">
      <c r="A36" s="18">
        <v>1</v>
      </c>
      <c r="B36" s="2411">
        <v>2</v>
      </c>
      <c r="C36" s="2411"/>
      <c r="D36" s="2411"/>
      <c r="E36" s="1188">
        <v>3</v>
      </c>
      <c r="F36" s="1188">
        <v>6</v>
      </c>
      <c r="G36" s="19">
        <v>7</v>
      </c>
      <c r="H36" s="1189">
        <v>8</v>
      </c>
      <c r="I36" s="1188">
        <v>9</v>
      </c>
      <c r="J36" s="19">
        <v>10</v>
      </c>
      <c r="K36" s="1189">
        <v>11</v>
      </c>
      <c r="L36" s="19">
        <v>12</v>
      </c>
      <c r="M36" s="1199">
        <v>13</v>
      </c>
    </row>
    <row r="37" spans="1:13" s="604" customFormat="1" ht="15.75">
      <c r="A37" s="602"/>
      <c r="B37" s="2399" t="s">
        <v>153</v>
      </c>
      <c r="C37" s="2399"/>
      <c r="D37" s="2399"/>
      <c r="E37" s="1181"/>
      <c r="F37" s="1181"/>
      <c r="G37" s="1181"/>
      <c r="H37" s="1181"/>
      <c r="I37" s="1181"/>
      <c r="J37" s="1181"/>
      <c r="K37" s="1181"/>
      <c r="L37" s="1182">
        <f>SUM(E37:K37)</f>
        <v>0</v>
      </c>
      <c r="M37" s="603"/>
    </row>
    <row r="38" spans="1:13" s="5" customFormat="1" ht="15.75">
      <c r="A38" s="2398" t="s">
        <v>154</v>
      </c>
      <c r="B38" s="2399"/>
      <c r="C38" s="2399"/>
      <c r="D38" s="2399"/>
      <c r="E38" s="2399"/>
      <c r="F38" s="2399"/>
      <c r="G38" s="2399"/>
      <c r="H38" s="2399"/>
      <c r="I38" s="2399"/>
      <c r="J38" s="2400"/>
      <c r="K38" s="2400"/>
      <c r="L38" s="2400"/>
      <c r="M38" s="2401"/>
    </row>
    <row r="39" spans="1:13" s="5" customFormat="1" ht="15">
      <c r="A39" s="6">
        <v>1</v>
      </c>
      <c r="B39" s="2377" t="s">
        <v>112</v>
      </c>
      <c r="C39" s="2377"/>
      <c r="D39" s="2377"/>
      <c r="E39" s="398"/>
      <c r="F39" s="398"/>
      <c r="G39" s="398"/>
      <c r="H39" s="398"/>
      <c r="I39" s="398"/>
      <c r="J39" s="398"/>
      <c r="K39" s="398"/>
      <c r="L39" s="398"/>
      <c r="M39" s="135"/>
    </row>
    <row r="40" spans="1:13" s="5" customFormat="1" ht="15">
      <c r="A40" s="6">
        <v>2</v>
      </c>
      <c r="B40" s="2377" t="s">
        <v>36</v>
      </c>
      <c r="C40" s="2377"/>
      <c r="D40" s="2377"/>
      <c r="E40" s="398"/>
      <c r="F40" s="398"/>
      <c r="G40" s="398"/>
      <c r="H40" s="398"/>
      <c r="I40" s="398"/>
      <c r="J40" s="398"/>
      <c r="K40" s="398"/>
      <c r="L40" s="398"/>
      <c r="M40" s="135"/>
    </row>
    <row r="41" spans="1:13" s="5" customFormat="1" ht="15">
      <c r="A41" s="6">
        <v>3</v>
      </c>
      <c r="B41" s="2377" t="s">
        <v>37</v>
      </c>
      <c r="C41" s="2377"/>
      <c r="D41" s="2377"/>
      <c r="E41" s="398"/>
      <c r="F41" s="398"/>
      <c r="G41" s="398"/>
      <c r="H41" s="398"/>
      <c r="I41" s="398"/>
      <c r="J41" s="398"/>
      <c r="K41" s="398"/>
      <c r="L41" s="398"/>
      <c r="M41" s="135"/>
    </row>
    <row r="42" spans="1:13" s="5" customFormat="1" ht="15">
      <c r="A42" s="6">
        <v>4</v>
      </c>
      <c r="B42" s="2377" t="s">
        <v>132</v>
      </c>
      <c r="C42" s="2377"/>
      <c r="D42" s="2377"/>
      <c r="E42" s="398"/>
      <c r="F42" s="398"/>
      <c r="G42" s="398"/>
      <c r="H42" s="398"/>
      <c r="I42" s="398"/>
      <c r="J42" s="398"/>
      <c r="K42" s="398"/>
      <c r="L42" s="398"/>
      <c r="M42" s="135"/>
    </row>
    <row r="43" spans="1:13" s="5" customFormat="1" ht="15">
      <c r="A43" s="127">
        <v>5</v>
      </c>
      <c r="B43" s="2377" t="s">
        <v>133</v>
      </c>
      <c r="C43" s="2377"/>
      <c r="D43" s="2377"/>
      <c r="E43" s="398"/>
      <c r="F43" s="398"/>
      <c r="G43" s="398"/>
      <c r="H43" s="398"/>
      <c r="I43" s="398"/>
      <c r="J43" s="398"/>
      <c r="K43" s="398"/>
      <c r="L43" s="398"/>
      <c r="M43" s="135"/>
    </row>
    <row r="44" spans="1:13" s="5" customFormat="1" ht="15">
      <c r="A44" s="127">
        <v>6</v>
      </c>
      <c r="B44" s="2377" t="s">
        <v>113</v>
      </c>
      <c r="C44" s="2377"/>
      <c r="D44" s="2377"/>
      <c r="E44" s="398"/>
      <c r="F44" s="398"/>
      <c r="G44" s="398"/>
      <c r="H44" s="398"/>
      <c r="I44" s="398"/>
      <c r="J44" s="398"/>
      <c r="K44" s="398"/>
      <c r="L44" s="398"/>
      <c r="M44" s="135"/>
    </row>
    <row r="45" spans="1:13" s="5" customFormat="1" ht="15">
      <c r="A45" s="6">
        <v>7</v>
      </c>
      <c r="B45" s="2377" t="s">
        <v>38</v>
      </c>
      <c r="C45" s="2377"/>
      <c r="D45" s="2377"/>
      <c r="E45" s="609"/>
      <c r="F45" s="609"/>
      <c r="G45" s="609"/>
      <c r="H45" s="609"/>
      <c r="I45" s="609"/>
      <c r="J45" s="609"/>
      <c r="K45" s="609"/>
      <c r="L45" s="398"/>
      <c r="M45" s="135"/>
    </row>
    <row r="46" spans="1:13" s="5" customFormat="1" ht="15">
      <c r="A46" s="6">
        <v>8</v>
      </c>
      <c r="B46" s="2377" t="s">
        <v>39</v>
      </c>
      <c r="C46" s="2377"/>
      <c r="D46" s="2377"/>
      <c r="E46" s="398"/>
      <c r="F46" s="398"/>
      <c r="G46" s="398"/>
      <c r="H46" s="398"/>
      <c r="I46" s="398"/>
      <c r="J46" s="398"/>
      <c r="K46" s="398"/>
      <c r="L46" s="398"/>
      <c r="M46" s="135"/>
    </row>
    <row r="47" spans="1:13" s="5" customFormat="1" ht="15">
      <c r="A47" s="6">
        <v>9</v>
      </c>
      <c r="B47" s="2377" t="s">
        <v>40</v>
      </c>
      <c r="C47" s="2377"/>
      <c r="D47" s="2377"/>
      <c r="E47" s="398"/>
      <c r="F47" s="398"/>
      <c r="G47" s="398"/>
      <c r="H47" s="398"/>
      <c r="I47" s="398"/>
      <c r="J47" s="398"/>
      <c r="K47" s="398"/>
      <c r="L47" s="398"/>
      <c r="M47" s="135"/>
    </row>
    <row r="48" spans="1:13" s="5" customFormat="1" ht="15">
      <c r="A48" s="6">
        <v>10</v>
      </c>
      <c r="B48" s="2377" t="s">
        <v>41</v>
      </c>
      <c r="C48" s="2377"/>
      <c r="D48" s="2377"/>
      <c r="E48" s="398"/>
      <c r="F48" s="398"/>
      <c r="G48" s="398"/>
      <c r="H48" s="398"/>
      <c r="I48" s="398"/>
      <c r="J48" s="398"/>
      <c r="K48" s="398"/>
      <c r="L48" s="398"/>
      <c r="M48" s="135"/>
    </row>
    <row r="49" spans="1:14" s="5" customFormat="1" ht="14.25">
      <c r="A49" s="8">
        <v>11</v>
      </c>
      <c r="B49" s="2379" t="s">
        <v>114</v>
      </c>
      <c r="C49" s="2379"/>
      <c r="D49" s="2379"/>
      <c r="E49" s="355">
        <f t="shared" ref="E49:K49" si="0">SUM(E39:E48)</f>
        <v>0</v>
      </c>
      <c r="F49" s="521">
        <f>SUM(F39:F48)</f>
        <v>0</v>
      </c>
      <c r="G49" s="521">
        <f>SUM(G39:G48)</f>
        <v>0</v>
      </c>
      <c r="H49" s="521">
        <f>SUM(H39:H48)</f>
        <v>0</v>
      </c>
      <c r="I49" s="521">
        <f t="shared" si="0"/>
        <v>0</v>
      </c>
      <c r="J49" s="521">
        <f t="shared" si="0"/>
        <v>0</v>
      </c>
      <c r="K49" s="521">
        <f t="shared" si="0"/>
        <v>0</v>
      </c>
      <c r="L49" s="521">
        <f>SUM(L39:L48)</f>
        <v>0</v>
      </c>
      <c r="M49" s="22"/>
    </row>
    <row r="50" spans="1:14" s="5" customFormat="1" ht="15">
      <c r="A50" s="2391" t="s">
        <v>17</v>
      </c>
      <c r="B50" s="2392"/>
      <c r="C50" s="2392"/>
      <c r="D50" s="2392"/>
      <c r="E50" s="2392"/>
      <c r="F50" s="2392"/>
      <c r="G50" s="2392"/>
      <c r="H50" s="2392"/>
      <c r="I50" s="2392"/>
      <c r="J50" s="2393"/>
      <c r="K50" s="2393"/>
      <c r="L50" s="2393"/>
      <c r="M50" s="2394"/>
    </row>
    <row r="51" spans="1:14" s="5" customFormat="1" ht="15">
      <c r="A51" s="9">
        <v>12</v>
      </c>
      <c r="B51" s="2377" t="s">
        <v>376</v>
      </c>
      <c r="C51" s="2377"/>
      <c r="D51" s="2377"/>
      <c r="E51" s="398"/>
      <c r="F51" s="398"/>
      <c r="G51" s="398"/>
      <c r="H51" s="398"/>
      <c r="I51" s="398"/>
      <c r="J51" s="398"/>
      <c r="K51" s="398"/>
      <c r="L51" s="398"/>
      <c r="M51" s="135"/>
    </row>
    <row r="52" spans="1:14" s="7" customFormat="1" ht="15">
      <c r="A52" s="8">
        <v>13</v>
      </c>
      <c r="B52" s="2379" t="s">
        <v>42</v>
      </c>
      <c r="C52" s="2379"/>
      <c r="D52" s="2379"/>
      <c r="E52" s="355">
        <f>SUM(E51)</f>
        <v>0</v>
      </c>
      <c r="F52" s="355">
        <f t="shared" ref="F52:L52" si="1">SUM(F51)</f>
        <v>0</v>
      </c>
      <c r="G52" s="355">
        <f t="shared" si="1"/>
        <v>0</v>
      </c>
      <c r="H52" s="355">
        <f t="shared" si="1"/>
        <v>0</v>
      </c>
      <c r="I52" s="355">
        <f t="shared" si="1"/>
        <v>0</v>
      </c>
      <c r="J52" s="355">
        <f t="shared" si="1"/>
        <v>0</v>
      </c>
      <c r="K52" s="355">
        <f t="shared" si="1"/>
        <v>0</v>
      </c>
      <c r="L52" s="355">
        <f t="shared" si="1"/>
        <v>0</v>
      </c>
      <c r="M52" s="22"/>
    </row>
    <row r="53" spans="1:14" s="7" customFormat="1" ht="15">
      <c r="A53" s="2391" t="s">
        <v>43</v>
      </c>
      <c r="B53" s="2392"/>
      <c r="C53" s="2392"/>
      <c r="D53" s="2392"/>
      <c r="E53" s="2392"/>
      <c r="F53" s="2392"/>
      <c r="G53" s="2392"/>
      <c r="H53" s="2392"/>
      <c r="I53" s="2392"/>
      <c r="J53" s="2393"/>
      <c r="K53" s="2393"/>
      <c r="L53" s="2393"/>
      <c r="M53" s="2394"/>
    </row>
    <row r="54" spans="1:14" s="5" customFormat="1" ht="15">
      <c r="A54" s="6">
        <v>14</v>
      </c>
      <c r="B54" s="2396" t="s">
        <v>115</v>
      </c>
      <c r="C54" s="2396"/>
      <c r="D54" s="2396"/>
      <c r="E54" s="520"/>
      <c r="F54" s="520"/>
      <c r="G54" s="520"/>
      <c r="H54" s="520"/>
      <c r="I54" s="520"/>
      <c r="J54" s="520"/>
      <c r="K54" s="398"/>
      <c r="L54" s="398"/>
      <c r="M54" s="135"/>
    </row>
    <row r="55" spans="1:14" s="5" customFormat="1" ht="15">
      <c r="A55" s="6">
        <v>15</v>
      </c>
      <c r="B55" s="2396" t="s">
        <v>584</v>
      </c>
      <c r="C55" s="2396"/>
      <c r="D55" s="2396"/>
      <c r="E55" s="520"/>
      <c r="F55" s="398"/>
      <c r="G55" s="398"/>
      <c r="H55" s="398"/>
      <c r="I55" s="398"/>
      <c r="J55" s="398"/>
      <c r="K55" s="398"/>
      <c r="L55" s="398"/>
      <c r="M55" s="135"/>
    </row>
    <row r="56" spans="1:14" s="5" customFormat="1" ht="15">
      <c r="A56" s="6">
        <v>16</v>
      </c>
      <c r="B56" s="2377" t="s">
        <v>377</v>
      </c>
      <c r="C56" s="2377"/>
      <c r="D56" s="2377"/>
      <c r="E56" s="520"/>
      <c r="F56" s="520"/>
      <c r="G56" s="520"/>
      <c r="H56" s="520"/>
      <c r="I56" s="520"/>
      <c r="J56" s="520"/>
      <c r="K56" s="520"/>
      <c r="L56" s="398"/>
      <c r="M56" s="135"/>
    </row>
    <row r="57" spans="1:14" s="5" customFormat="1" ht="15">
      <c r="A57" s="6"/>
      <c r="B57" s="1919"/>
      <c r="C57" s="2384" t="s">
        <v>1282</v>
      </c>
      <c r="D57" s="2385"/>
      <c r="E57" s="520"/>
      <c r="F57" s="520"/>
      <c r="G57" s="520"/>
      <c r="H57" s="520"/>
      <c r="I57" s="520"/>
      <c r="J57" s="520"/>
      <c r="K57" s="520"/>
      <c r="L57" s="398"/>
      <c r="M57" s="135"/>
    </row>
    <row r="58" spans="1:14" s="5" customFormat="1" ht="15">
      <c r="A58" s="6"/>
      <c r="B58" s="1919"/>
      <c r="C58" s="2384" t="s">
        <v>1283</v>
      </c>
      <c r="D58" s="2385"/>
      <c r="E58" s="520"/>
      <c r="F58" s="520"/>
      <c r="G58" s="520"/>
      <c r="H58" s="520"/>
      <c r="I58" s="520"/>
      <c r="J58" s="520"/>
      <c r="K58" s="520"/>
      <c r="L58" s="398"/>
      <c r="M58" s="135"/>
    </row>
    <row r="59" spans="1:14" s="7" customFormat="1" ht="15">
      <c r="A59" s="6"/>
      <c r="B59" s="126"/>
      <c r="C59" s="2377" t="s">
        <v>1284</v>
      </c>
      <c r="D59" s="2377"/>
      <c r="E59" s="398"/>
      <c r="F59" s="398"/>
      <c r="G59" s="398"/>
      <c r="H59" s="1907"/>
      <c r="I59" s="398"/>
      <c r="J59" s="398"/>
      <c r="K59" s="398"/>
      <c r="L59" s="398"/>
      <c r="M59" s="378"/>
      <c r="N59" s="5"/>
    </row>
    <row r="60" spans="1:14" s="7" customFormat="1" ht="14.45" customHeight="1">
      <c r="A60" s="6"/>
      <c r="B60" s="126"/>
      <c r="C60" s="2384" t="s">
        <v>1285</v>
      </c>
      <c r="D60" s="2385"/>
      <c r="E60" s="398"/>
      <c r="F60" s="398"/>
      <c r="G60" s="398"/>
      <c r="H60" s="1907"/>
      <c r="I60" s="398"/>
      <c r="J60" s="398"/>
      <c r="K60" s="398"/>
      <c r="L60" s="398"/>
      <c r="M60" s="378"/>
      <c r="N60" s="5"/>
    </row>
    <row r="61" spans="1:14" s="5" customFormat="1" ht="15">
      <c r="A61" s="6">
        <v>18</v>
      </c>
      <c r="B61" s="2377" t="s">
        <v>583</v>
      </c>
      <c r="C61" s="2377"/>
      <c r="D61" s="2377"/>
      <c r="E61" s="1764"/>
      <c r="F61" s="520"/>
      <c r="G61" s="520"/>
      <c r="H61" s="520"/>
      <c r="I61" s="520"/>
      <c r="J61" s="520"/>
      <c r="K61" s="520"/>
      <c r="L61" s="398"/>
      <c r="M61" s="135"/>
    </row>
    <row r="62" spans="1:14" s="7" customFormat="1" ht="15">
      <c r="A62" s="6">
        <v>19</v>
      </c>
      <c r="B62" s="2377" t="s">
        <v>721</v>
      </c>
      <c r="C62" s="2377"/>
      <c r="D62" s="2377"/>
      <c r="E62" s="520"/>
      <c r="F62" s="520"/>
      <c r="G62" s="520"/>
      <c r="H62" s="520"/>
      <c r="I62" s="520"/>
      <c r="J62" s="520"/>
      <c r="K62" s="520"/>
      <c r="L62" s="398"/>
      <c r="M62" s="135"/>
    </row>
    <row r="63" spans="1:14" s="7" customFormat="1" ht="15">
      <c r="A63" s="6">
        <v>21</v>
      </c>
      <c r="B63" s="2377" t="s">
        <v>597</v>
      </c>
      <c r="C63" s="2377"/>
      <c r="D63" s="2377"/>
      <c r="E63" s="520"/>
      <c r="F63" s="520"/>
      <c r="G63" s="520"/>
      <c r="H63" s="520"/>
      <c r="I63" s="520"/>
      <c r="J63" s="520"/>
      <c r="K63" s="520"/>
      <c r="L63" s="398"/>
      <c r="M63" s="135"/>
    </row>
    <row r="64" spans="1:14" s="5" customFormat="1" ht="15">
      <c r="A64" s="6">
        <v>22</v>
      </c>
      <c r="B64" s="2377" t="s">
        <v>45</v>
      </c>
      <c r="C64" s="2377"/>
      <c r="D64" s="2377"/>
      <c r="E64" s="520"/>
      <c r="F64" s="398"/>
      <c r="G64" s="398"/>
      <c r="H64" s="398"/>
      <c r="I64" s="398"/>
      <c r="J64" s="398"/>
      <c r="K64" s="520"/>
      <c r="L64" s="398"/>
      <c r="M64" s="135"/>
    </row>
    <row r="65" spans="1:13" s="5" customFormat="1" ht="14.45" customHeight="1">
      <c r="A65" s="6">
        <v>25</v>
      </c>
      <c r="B65" s="2377" t="s">
        <v>46</v>
      </c>
      <c r="C65" s="2377"/>
      <c r="D65" s="2377"/>
      <c r="E65" s="398"/>
      <c r="F65" s="398"/>
      <c r="G65" s="398"/>
      <c r="H65" s="398"/>
      <c r="I65" s="398"/>
      <c r="K65" s="398"/>
      <c r="L65" s="398"/>
      <c r="M65" s="135"/>
    </row>
    <row r="66" spans="1:13" s="5" customFormat="1" ht="14.45" customHeight="1">
      <c r="A66" s="6">
        <v>26</v>
      </c>
      <c r="B66" s="2377" t="s">
        <v>807</v>
      </c>
      <c r="C66" s="2377"/>
      <c r="D66" s="2377"/>
      <c r="E66" s="398"/>
      <c r="F66" s="398"/>
      <c r="G66" s="398"/>
      <c r="H66" s="398"/>
      <c r="I66" s="398"/>
      <c r="J66" s="398"/>
      <c r="K66" s="398"/>
      <c r="L66" s="398"/>
      <c r="M66" s="135"/>
    </row>
    <row r="67" spans="1:13" s="5" customFormat="1" ht="14.45" customHeight="1">
      <c r="A67" s="6">
        <v>27</v>
      </c>
      <c r="B67" s="2384" t="s">
        <v>1225</v>
      </c>
      <c r="C67" s="2387"/>
      <c r="D67" s="2385"/>
      <c r="E67" s="1764"/>
      <c r="F67" s="1764"/>
      <c r="G67" s="1764"/>
      <c r="H67" s="1764"/>
      <c r="I67" s="1764"/>
      <c r="J67" s="398"/>
      <c r="K67" s="1764"/>
      <c r="L67" s="398"/>
      <c r="M67" s="135"/>
    </row>
    <row r="68" spans="1:13" s="5" customFormat="1" ht="14.45" customHeight="1">
      <c r="A68" s="8">
        <v>28</v>
      </c>
      <c r="B68" s="2388" t="s">
        <v>47</v>
      </c>
      <c r="C68" s="2389"/>
      <c r="D68" s="2390"/>
      <c r="E68" s="407"/>
      <c r="F68" s="407"/>
      <c r="G68" s="407"/>
      <c r="H68" s="407"/>
      <c r="I68" s="407"/>
      <c r="J68" s="407"/>
      <c r="K68" s="407"/>
      <c r="L68" s="407"/>
      <c r="M68" s="136"/>
    </row>
    <row r="69" spans="1:13" s="5" customFormat="1" ht="27.75" customHeight="1">
      <c r="A69" s="8">
        <v>29</v>
      </c>
      <c r="B69" s="2395" t="s">
        <v>173</v>
      </c>
      <c r="C69" s="2395"/>
      <c r="D69" s="2395"/>
      <c r="E69" s="360"/>
      <c r="F69" s="360"/>
      <c r="G69" s="360"/>
      <c r="H69" s="360"/>
      <c r="I69" s="360"/>
      <c r="J69" s="360"/>
      <c r="K69" s="360"/>
      <c r="L69" s="360"/>
      <c r="M69" s="24"/>
    </row>
    <row r="70" spans="1:13" s="5" customFormat="1" ht="15">
      <c r="A70" s="2391" t="s">
        <v>48</v>
      </c>
      <c r="B70" s="2392"/>
      <c r="C70" s="2392"/>
      <c r="D70" s="2392"/>
      <c r="E70" s="2392"/>
      <c r="F70" s="2392"/>
      <c r="G70" s="2392"/>
      <c r="H70" s="2392"/>
      <c r="I70" s="2392"/>
      <c r="J70" s="2393"/>
      <c r="K70" s="2393"/>
      <c r="L70" s="2393"/>
      <c r="M70" s="2394"/>
    </row>
    <row r="71" spans="1:13" s="5" customFormat="1" ht="15">
      <c r="A71" s="9">
        <f>A68+1</f>
        <v>29</v>
      </c>
      <c r="B71" s="2377" t="s">
        <v>116</v>
      </c>
      <c r="C71" s="2377"/>
      <c r="D71" s="2377"/>
      <c r="E71" s="360"/>
      <c r="F71" s="360"/>
      <c r="G71" s="360"/>
      <c r="H71" s="360"/>
      <c r="I71" s="360"/>
      <c r="J71" s="360"/>
      <c r="K71" s="360"/>
      <c r="L71" s="398"/>
      <c r="M71" s="135" t="s">
        <v>1281</v>
      </c>
    </row>
    <row r="72" spans="1:13" s="5" customFormat="1" ht="15">
      <c r="A72" s="9">
        <f>A71+1</f>
        <v>30</v>
      </c>
      <c r="B72" s="2377" t="s">
        <v>379</v>
      </c>
      <c r="C72" s="2377"/>
      <c r="D72" s="2377"/>
      <c r="E72" s="360"/>
      <c r="F72" s="360"/>
      <c r="G72" s="360"/>
      <c r="H72" s="360"/>
      <c r="I72" s="360"/>
      <c r="J72" s="360"/>
      <c r="K72" s="360"/>
      <c r="L72" s="398"/>
      <c r="M72" s="135" t="s">
        <v>1281</v>
      </c>
    </row>
    <row r="73" spans="1:13" s="5" customFormat="1" ht="15">
      <c r="A73" s="9">
        <f>A72+1</f>
        <v>31</v>
      </c>
      <c r="B73" s="2377" t="s">
        <v>117</v>
      </c>
      <c r="C73" s="2377"/>
      <c r="D73" s="2377"/>
      <c r="E73" s="360"/>
      <c r="F73" s="360"/>
      <c r="G73" s="360"/>
      <c r="H73" s="360"/>
      <c r="I73" s="360"/>
      <c r="J73" s="360"/>
      <c r="K73" s="360"/>
      <c r="L73" s="398"/>
      <c r="M73" s="135" t="s">
        <v>1281</v>
      </c>
    </row>
    <row r="74" spans="1:13" s="5" customFormat="1" ht="15">
      <c r="A74" s="9">
        <f>A73+1</f>
        <v>32</v>
      </c>
      <c r="B74" s="2377" t="s">
        <v>134</v>
      </c>
      <c r="C74" s="2377"/>
      <c r="D74" s="2377"/>
      <c r="E74" s="360"/>
      <c r="F74" s="360"/>
      <c r="G74" s="360"/>
      <c r="H74" s="360"/>
      <c r="I74" s="360"/>
      <c r="J74" s="360"/>
      <c r="K74" s="360"/>
      <c r="L74" s="398"/>
      <c r="M74" s="135" t="s">
        <v>1281</v>
      </c>
    </row>
    <row r="75" spans="1:13" s="5" customFormat="1" ht="14.25">
      <c r="A75" s="8">
        <v>30</v>
      </c>
      <c r="B75" s="2379" t="s">
        <v>49</v>
      </c>
      <c r="C75" s="2379"/>
      <c r="D75" s="2379"/>
      <c r="E75" s="355">
        <f t="shared" ref="E75:L75" si="2">SUM(E71:E74)</f>
        <v>0</v>
      </c>
      <c r="F75" s="355">
        <f t="shared" si="2"/>
        <v>0</v>
      </c>
      <c r="G75" s="355">
        <f t="shared" si="2"/>
        <v>0</v>
      </c>
      <c r="H75" s="355">
        <f t="shared" si="2"/>
        <v>0</v>
      </c>
      <c r="I75" s="355">
        <f t="shared" si="2"/>
        <v>0</v>
      </c>
      <c r="J75" s="355">
        <f t="shared" si="2"/>
        <v>0</v>
      </c>
      <c r="K75" s="355">
        <f t="shared" si="2"/>
        <v>0</v>
      </c>
      <c r="L75" s="355">
        <f t="shared" si="2"/>
        <v>0</v>
      </c>
      <c r="M75" s="136"/>
    </row>
    <row r="76" spans="1:13" s="5" customFormat="1" ht="14.25">
      <c r="A76" s="8">
        <f>A75+1</f>
        <v>31</v>
      </c>
      <c r="B76" s="2379" t="s">
        <v>50</v>
      </c>
      <c r="C76" s="2379"/>
      <c r="D76" s="2379"/>
      <c r="E76" s="355">
        <f t="shared" ref="E76:L76" si="3">E49+E68+E69+E75+E51</f>
        <v>0</v>
      </c>
      <c r="F76" s="355">
        <f t="shared" si="3"/>
        <v>0</v>
      </c>
      <c r="G76" s="355">
        <f t="shared" si="3"/>
        <v>0</v>
      </c>
      <c r="H76" s="355">
        <f t="shared" si="3"/>
        <v>0</v>
      </c>
      <c r="I76" s="355">
        <f t="shared" si="3"/>
        <v>0</v>
      </c>
      <c r="J76" s="355">
        <f t="shared" si="3"/>
        <v>0</v>
      </c>
      <c r="K76" s="355">
        <f t="shared" si="3"/>
        <v>0</v>
      </c>
      <c r="L76" s="355">
        <f t="shared" si="3"/>
        <v>0</v>
      </c>
      <c r="M76" s="136"/>
    </row>
    <row r="77" spans="1:13" s="5" customFormat="1" ht="15">
      <c r="A77" s="6">
        <f>A76+1</f>
        <v>32</v>
      </c>
      <c r="B77" s="2377" t="s">
        <v>1280</v>
      </c>
      <c r="C77" s="2377"/>
      <c r="D77" s="2377"/>
      <c r="E77" s="360"/>
      <c r="F77" s="360"/>
      <c r="G77" s="360"/>
      <c r="H77" s="360"/>
      <c r="I77" s="360">
        <f>ROUND(I39*1.304*113%,2)</f>
        <v>0</v>
      </c>
      <c r="J77" s="360">
        <f>ROUND(J39*1.304*113%,2)</f>
        <v>0</v>
      </c>
      <c r="K77" s="360">
        <f>ROUND(K39*1.304*113%,2)</f>
        <v>0</v>
      </c>
      <c r="L77" s="398"/>
      <c r="M77" s="378"/>
    </row>
    <row r="78" spans="1:13" s="5" customFormat="1" ht="14.25">
      <c r="A78" s="8">
        <f t="shared" ref="A78:A85" si="4">A77+1</f>
        <v>33</v>
      </c>
      <c r="B78" s="2379" t="s">
        <v>118</v>
      </c>
      <c r="C78" s="2379"/>
      <c r="D78" s="2379"/>
      <c r="E78" s="355">
        <f t="shared" ref="E78:I78" si="5">E76+E77</f>
        <v>0</v>
      </c>
      <c r="F78" s="355">
        <f>F76+F77</f>
        <v>0</v>
      </c>
      <c r="G78" s="355">
        <f>G76+G77</f>
        <v>0</v>
      </c>
      <c r="H78" s="355">
        <f>H76+H77</f>
        <v>0</v>
      </c>
      <c r="I78" s="355">
        <f t="shared" si="5"/>
        <v>0</v>
      </c>
      <c r="J78" s="355">
        <f>J76+J77</f>
        <v>0</v>
      </c>
      <c r="K78" s="355">
        <f>K76+K77</f>
        <v>0</v>
      </c>
      <c r="L78" s="355">
        <f>L76+L77</f>
        <v>0</v>
      </c>
      <c r="M78" s="136"/>
    </row>
    <row r="79" spans="1:13" s="5" customFormat="1" ht="15">
      <c r="A79" s="6">
        <f t="shared" si="4"/>
        <v>34</v>
      </c>
      <c r="B79" s="2377" t="s">
        <v>1279</v>
      </c>
      <c r="C79" s="2377"/>
      <c r="D79" s="2377"/>
      <c r="E79" s="360"/>
      <c r="F79" s="360"/>
      <c r="G79" s="360"/>
      <c r="H79" s="360"/>
      <c r="I79" s="360"/>
      <c r="J79" s="360"/>
      <c r="K79" s="360"/>
      <c r="L79" s="398"/>
      <c r="M79" s="378"/>
    </row>
    <row r="80" spans="1:13" s="5" customFormat="1" ht="14.25">
      <c r="A80" s="8">
        <f t="shared" si="4"/>
        <v>35</v>
      </c>
      <c r="B80" s="2379" t="s">
        <v>156</v>
      </c>
      <c r="C80" s="2379"/>
      <c r="D80" s="2379"/>
      <c r="E80" s="355">
        <f t="shared" ref="E80:L80" si="6">E78+E79</f>
        <v>0</v>
      </c>
      <c r="F80" s="355">
        <f>F78+F79</f>
        <v>0</v>
      </c>
      <c r="G80" s="355">
        <f>G78+G79</f>
        <v>0</v>
      </c>
      <c r="H80" s="355">
        <f>H78+H79</f>
        <v>0</v>
      </c>
      <c r="I80" s="355">
        <f t="shared" si="6"/>
        <v>0</v>
      </c>
      <c r="J80" s="355">
        <f>J78+J79</f>
        <v>0</v>
      </c>
      <c r="K80" s="355">
        <f>K78+K79</f>
        <v>0</v>
      </c>
      <c r="L80" s="355">
        <f t="shared" si="6"/>
        <v>0</v>
      </c>
      <c r="M80" s="22"/>
    </row>
    <row r="81" spans="1:16" s="379" customFormat="1" ht="15">
      <c r="A81" s="6">
        <f t="shared" si="4"/>
        <v>36</v>
      </c>
      <c r="B81" s="2377" t="s">
        <v>378</v>
      </c>
      <c r="C81" s="2380"/>
      <c r="D81" s="2380"/>
      <c r="E81" s="398"/>
      <c r="F81" s="398"/>
      <c r="G81" s="398"/>
      <c r="H81" s="398"/>
      <c r="I81" s="398"/>
      <c r="J81" s="398"/>
      <c r="K81" s="398"/>
      <c r="L81" s="398"/>
      <c r="M81" s="135"/>
    </row>
    <row r="82" spans="1:16" s="379" customFormat="1" ht="14.25">
      <c r="A82" s="8">
        <f t="shared" si="4"/>
        <v>37</v>
      </c>
      <c r="B82" s="2379" t="s">
        <v>50</v>
      </c>
      <c r="C82" s="2379"/>
      <c r="D82" s="2379"/>
      <c r="E82" s="355">
        <f t="shared" ref="E82:I82" si="7">E80</f>
        <v>0</v>
      </c>
      <c r="F82" s="355">
        <f>F80</f>
        <v>0</v>
      </c>
      <c r="G82" s="355">
        <f>G80</f>
        <v>0</v>
      </c>
      <c r="H82" s="355">
        <f>H80</f>
        <v>0</v>
      </c>
      <c r="I82" s="355">
        <f t="shared" si="7"/>
        <v>0</v>
      </c>
      <c r="J82" s="355">
        <f>J80</f>
        <v>0</v>
      </c>
      <c r="K82" s="355">
        <f>K80</f>
        <v>0</v>
      </c>
      <c r="L82" s="355">
        <f>L80</f>
        <v>0</v>
      </c>
      <c r="M82" s="136"/>
    </row>
    <row r="83" spans="1:16" s="128" customFormat="1" ht="14.25">
      <c r="A83" s="8">
        <f t="shared" si="4"/>
        <v>38</v>
      </c>
      <c r="B83" s="2382" t="s">
        <v>51</v>
      </c>
      <c r="C83" s="2382"/>
      <c r="D83" s="2382"/>
      <c r="E83" s="355">
        <f t="shared" ref="E83:L83" si="8">E82</f>
        <v>0</v>
      </c>
      <c r="F83" s="355">
        <f t="shared" si="8"/>
        <v>0</v>
      </c>
      <c r="G83" s="355">
        <f t="shared" si="8"/>
        <v>0</v>
      </c>
      <c r="H83" s="355">
        <f t="shared" si="8"/>
        <v>0</v>
      </c>
      <c r="I83" s="355">
        <f t="shared" si="8"/>
        <v>0</v>
      </c>
      <c r="J83" s="355">
        <f t="shared" si="8"/>
        <v>0</v>
      </c>
      <c r="K83" s="355">
        <f t="shared" si="8"/>
        <v>0</v>
      </c>
      <c r="L83" s="355">
        <f t="shared" si="8"/>
        <v>0</v>
      </c>
      <c r="M83" s="22"/>
    </row>
    <row r="84" spans="1:16" ht="14.25">
      <c r="A84" s="11">
        <f t="shared" si="4"/>
        <v>39</v>
      </c>
      <c r="B84" s="2383" t="s">
        <v>52</v>
      </c>
      <c r="C84" s="2383"/>
      <c r="D84" s="2383"/>
      <c r="E84" s="361">
        <f t="shared" ref="E84:L84" si="9">ROUND(E83*1.2,2)</f>
        <v>0</v>
      </c>
      <c r="F84" s="361">
        <f t="shared" si="9"/>
        <v>0</v>
      </c>
      <c r="G84" s="361">
        <f t="shared" si="9"/>
        <v>0</v>
      </c>
      <c r="H84" s="361">
        <f t="shared" si="9"/>
        <v>0</v>
      </c>
      <c r="I84" s="361">
        <f t="shared" si="9"/>
        <v>0</v>
      </c>
      <c r="J84" s="361">
        <f t="shared" si="9"/>
        <v>0</v>
      </c>
      <c r="K84" s="361">
        <f t="shared" si="9"/>
        <v>0</v>
      </c>
      <c r="L84" s="361">
        <f t="shared" si="9"/>
        <v>0</v>
      </c>
      <c r="M84" s="137"/>
      <c r="N84" s="128"/>
      <c r="O84" s="128"/>
      <c r="P84" s="128"/>
    </row>
    <row r="85" spans="1:16" ht="16.5" thickBot="1">
      <c r="A85" s="25">
        <f t="shared" si="4"/>
        <v>40</v>
      </c>
      <c r="B85" s="2381" t="s">
        <v>119</v>
      </c>
      <c r="C85" s="2381"/>
      <c r="D85" s="2381"/>
      <c r="E85" s="366" t="e">
        <f>ROUND(E84/(E14),2)</f>
        <v>#DIV/0!</v>
      </c>
      <c r="F85" s="366"/>
      <c r="G85" s="366" t="s">
        <v>155</v>
      </c>
      <c r="H85" s="366" t="s">
        <v>155</v>
      </c>
      <c r="I85" s="366" t="s">
        <v>155</v>
      </c>
      <c r="J85" s="366" t="s">
        <v>155</v>
      </c>
      <c r="K85" s="366" t="e">
        <f>K84/'Расчет ННБ'!E21</f>
        <v>#DIV/0!</v>
      </c>
      <c r="L85" s="640"/>
      <c r="M85" s="138"/>
      <c r="N85" s="128"/>
      <c r="O85" s="128"/>
      <c r="P85" s="128"/>
    </row>
    <row r="86" spans="1:16" s="128" customFormat="1" ht="15.75">
      <c r="A86" s="1005"/>
      <c r="B86" s="1006"/>
      <c r="C86" s="1006"/>
      <c r="D86" s="1006"/>
      <c r="E86" s="1007"/>
      <c r="F86" s="1007"/>
      <c r="G86" s="1007"/>
      <c r="H86" s="1007"/>
      <c r="I86" s="1007"/>
      <c r="J86" s="1007"/>
      <c r="K86" s="1007"/>
      <c r="L86" s="1007"/>
      <c r="M86" s="1008"/>
    </row>
    <row r="87" spans="1:16" s="128" customFormat="1" ht="15.75">
      <c r="A87" s="1005"/>
      <c r="B87" s="1006"/>
      <c r="C87" s="1006"/>
      <c r="D87" s="1006"/>
      <c r="E87" s="1007"/>
      <c r="F87" s="1007"/>
      <c r="G87" s="1007"/>
      <c r="H87" s="1007"/>
      <c r="I87" s="1007"/>
      <c r="J87" s="1007"/>
      <c r="K87" s="1007"/>
      <c r="L87" s="1007"/>
      <c r="M87" s="1008"/>
    </row>
    <row r="88" spans="1:16" s="128" customFormat="1" ht="15.75">
      <c r="A88" s="1005"/>
      <c r="B88" s="1006"/>
      <c r="C88" s="1006"/>
      <c r="D88" s="1006"/>
      <c r="E88" s="1007"/>
      <c r="F88" s="1007"/>
      <c r="G88" s="1007"/>
      <c r="H88" s="1007"/>
      <c r="I88" s="1007"/>
      <c r="J88" s="1007"/>
      <c r="K88" s="1007"/>
      <c r="L88" s="1007"/>
      <c r="M88" s="1008"/>
    </row>
    <row r="89" spans="1:16" ht="15">
      <c r="A89" s="12"/>
      <c r="B89" s="13"/>
      <c r="C89" s="13"/>
      <c r="D89" s="13"/>
      <c r="E89" s="384"/>
      <c r="F89" s="384"/>
      <c r="G89" s="384"/>
      <c r="H89" s="384"/>
      <c r="I89" s="384"/>
      <c r="J89" s="384"/>
      <c r="K89" s="384"/>
      <c r="L89" s="384"/>
      <c r="M89" s="13"/>
    </row>
    <row r="90" spans="1:16" s="77" customFormat="1" ht="33.6" customHeight="1">
      <c r="B90" s="2386" t="e">
        <f>'№5.1Демонтаж БУ'!B76</f>
        <v>#REF!</v>
      </c>
      <c r="C90" s="2386"/>
      <c r="D90" s="2386"/>
      <c r="E90" s="383"/>
      <c r="F90" s="1183" t="e">
        <f>'№2.3 ПНР'!E78</f>
        <v>#REF!</v>
      </c>
      <c r="G90" s="1184"/>
      <c r="H90" s="1184"/>
      <c r="I90" s="1184"/>
      <c r="J90" s="1184"/>
      <c r="K90" s="1184"/>
      <c r="L90" s="1184"/>
      <c r="M90" s="105"/>
    </row>
    <row r="91" spans="1:16" s="77" customFormat="1" ht="15">
      <c r="B91" s="2378" t="s">
        <v>126</v>
      </c>
      <c r="C91" s="2378"/>
      <c r="D91" s="2378"/>
      <c r="E91" s="1769" t="s">
        <v>124</v>
      </c>
      <c r="F91" s="1185" t="s">
        <v>127</v>
      </c>
      <c r="G91" s="1185"/>
      <c r="H91" s="1186"/>
      <c r="I91" s="1186"/>
      <c r="J91" s="1186"/>
      <c r="K91" s="1186"/>
      <c r="L91" s="1186"/>
      <c r="M91" s="453"/>
    </row>
    <row r="92" spans="1:16">
      <c r="A92" s="14"/>
      <c r="B92" s="10"/>
      <c r="C92" s="10"/>
      <c r="D92" s="10"/>
      <c r="E92" s="1187"/>
      <c r="F92" s="1187"/>
      <c r="G92" s="1187"/>
      <c r="H92" s="1187"/>
      <c r="I92" s="1187"/>
      <c r="J92" s="1187"/>
      <c r="K92" s="1187"/>
      <c r="L92" s="1187"/>
      <c r="M92" s="10"/>
    </row>
    <row r="93" spans="1:16">
      <c r="E93" s="1187"/>
    </row>
    <row r="94" spans="1:16">
      <c r="E94" s="1187"/>
    </row>
    <row r="95" spans="1:16">
      <c r="E95" s="1187"/>
    </row>
    <row r="96" spans="1:16">
      <c r="E96" s="1187"/>
    </row>
    <row r="97" spans="5:5">
      <c r="E97" s="1187"/>
    </row>
    <row r="98" spans="5:5">
      <c r="E98" s="1187"/>
    </row>
    <row r="99" spans="5:5">
      <c r="E99" s="1187"/>
    </row>
  </sheetData>
  <mergeCells count="73">
    <mergeCell ref="A31:D31"/>
    <mergeCell ref="A19:E19"/>
    <mergeCell ref="A3:M3"/>
    <mergeCell ref="A4:M4"/>
    <mergeCell ref="B8:C8"/>
    <mergeCell ref="D8:E8"/>
    <mergeCell ref="A10:D10"/>
    <mergeCell ref="A12:D12"/>
    <mergeCell ref="A14:D14"/>
    <mergeCell ref="A15:C15"/>
    <mergeCell ref="B16:D16"/>
    <mergeCell ref="A18:D18"/>
    <mergeCell ref="A20:B20"/>
    <mergeCell ref="A25:B25"/>
    <mergeCell ref="F34:K34"/>
    <mergeCell ref="B39:D39"/>
    <mergeCell ref="A38:M38"/>
    <mergeCell ref="L33:L35"/>
    <mergeCell ref="M33:M35"/>
    <mergeCell ref="A33:A35"/>
    <mergeCell ref="B33:D35"/>
    <mergeCell ref="E34:E35"/>
    <mergeCell ref="B36:D36"/>
    <mergeCell ref="B37:D37"/>
    <mergeCell ref="E33:K33"/>
    <mergeCell ref="B40:D40"/>
    <mergeCell ref="B41:D41"/>
    <mergeCell ref="B42:D42"/>
    <mergeCell ref="B43:D43"/>
    <mergeCell ref="B46:D46"/>
    <mergeCell ref="B44:D44"/>
    <mergeCell ref="B45:D45"/>
    <mergeCell ref="B69:D69"/>
    <mergeCell ref="B47:D47"/>
    <mergeCell ref="B48:D48"/>
    <mergeCell ref="B49:D49"/>
    <mergeCell ref="B52:D52"/>
    <mergeCell ref="A53:M53"/>
    <mergeCell ref="A50:M50"/>
    <mergeCell ref="B51:D51"/>
    <mergeCell ref="B61:D61"/>
    <mergeCell ref="B63:D63"/>
    <mergeCell ref="B54:D54"/>
    <mergeCell ref="B55:D55"/>
    <mergeCell ref="B62:D62"/>
    <mergeCell ref="B56:D56"/>
    <mergeCell ref="C59:D59"/>
    <mergeCell ref="C60:D60"/>
    <mergeCell ref="C57:D57"/>
    <mergeCell ref="C58:D58"/>
    <mergeCell ref="B64:D64"/>
    <mergeCell ref="B73:D73"/>
    <mergeCell ref="B90:D90"/>
    <mergeCell ref="B78:D78"/>
    <mergeCell ref="B67:D67"/>
    <mergeCell ref="B66:D66"/>
    <mergeCell ref="B65:D65"/>
    <mergeCell ref="B68:D68"/>
    <mergeCell ref="B74:D74"/>
    <mergeCell ref="B75:D75"/>
    <mergeCell ref="B76:D76"/>
    <mergeCell ref="B77:D77"/>
    <mergeCell ref="A70:M70"/>
    <mergeCell ref="B71:D71"/>
    <mergeCell ref="B72:D72"/>
    <mergeCell ref="B91:D91"/>
    <mergeCell ref="B79:D79"/>
    <mergeCell ref="B80:D80"/>
    <mergeCell ref="B81:D81"/>
    <mergeCell ref="B82:D82"/>
    <mergeCell ref="B85:D85"/>
    <mergeCell ref="B83:D83"/>
    <mergeCell ref="B84:D84"/>
  </mergeCells>
  <pageMargins left="0.98425196850393704" right="0.19685039370078741" top="0.39370078740157483" bottom="0.39370078740157483" header="0" footer="0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5"/>
  <sheetViews>
    <sheetView view="pageBreakPreview" zoomScale="55" zoomScaleNormal="70" zoomScaleSheetLayoutView="55" workbookViewId="0">
      <selection activeCell="N11" sqref="N11"/>
    </sheetView>
  </sheetViews>
  <sheetFormatPr defaultColWidth="9" defaultRowHeight="18.75"/>
  <cols>
    <col min="1" max="1" width="8.28515625" style="818" customWidth="1"/>
    <col min="2" max="2" width="108.42578125" style="819" customWidth="1"/>
    <col min="3" max="3" width="10.5703125" style="780" customWidth="1"/>
    <col min="4" max="4" width="15.5703125" style="780" customWidth="1"/>
    <col min="5" max="5" width="12" style="820" customWidth="1"/>
    <col min="6" max="32" width="11.7109375" style="780" customWidth="1"/>
    <col min="33" max="35" width="11.7109375" style="821" customWidth="1"/>
    <col min="36" max="43" width="11.7109375" style="780" customWidth="1"/>
    <col min="44" max="46" width="11.7109375" style="821" customWidth="1"/>
    <col min="47" max="47" width="10.140625" style="822" customWidth="1"/>
    <col min="48" max="56" width="8.85546875" style="822" customWidth="1"/>
    <col min="57" max="57" width="14.28515625" style="1" bestFit="1" customWidth="1"/>
    <col min="58" max="16384" width="9" style="1"/>
  </cols>
  <sheetData>
    <row r="1" spans="1:57" ht="45.95" customHeight="1">
      <c r="A1" s="2428" t="s">
        <v>490</v>
      </c>
      <c r="B1" s="2429"/>
      <c r="C1" s="2429"/>
      <c r="D1" s="2429"/>
      <c r="E1" s="2429"/>
      <c r="F1" s="2429"/>
      <c r="G1" s="2429"/>
      <c r="H1" s="2429"/>
      <c r="I1" s="2429"/>
      <c r="J1" s="2429"/>
      <c r="K1" s="2429"/>
      <c r="L1" s="2429"/>
      <c r="M1" s="2429"/>
      <c r="N1" s="2429"/>
      <c r="O1" s="2429"/>
      <c r="P1" s="2429"/>
      <c r="Q1" s="2429"/>
      <c r="R1" s="2429"/>
      <c r="S1" s="2429"/>
      <c r="T1" s="2429"/>
      <c r="U1" s="2429"/>
      <c r="V1" s="2429"/>
      <c r="W1" s="2429"/>
      <c r="X1" s="2429"/>
      <c r="Y1" s="2429"/>
      <c r="Z1" s="2429"/>
      <c r="AA1" s="2429"/>
      <c r="AB1" s="2429"/>
      <c r="AC1" s="2429"/>
      <c r="AD1" s="2429"/>
      <c r="AE1" s="2429"/>
      <c r="AF1" s="2429"/>
      <c r="AG1" s="2429"/>
      <c r="AH1" s="2429"/>
      <c r="AI1" s="2429"/>
      <c r="AJ1" s="2429"/>
      <c r="AK1" s="2429"/>
      <c r="AL1" s="2429"/>
      <c r="AM1" s="2429"/>
      <c r="AN1" s="2429"/>
      <c r="AO1" s="2429"/>
      <c r="AP1" s="2429"/>
      <c r="AQ1" s="2429"/>
      <c r="AR1" s="2429"/>
      <c r="AS1" s="2429"/>
      <c r="AT1" s="2429"/>
      <c r="AU1" s="2429"/>
      <c r="AV1" s="2429"/>
      <c r="AW1" s="2429"/>
      <c r="AX1" s="2429"/>
      <c r="AY1" s="2429"/>
      <c r="AZ1" s="2429"/>
      <c r="BA1" s="2429"/>
      <c r="BB1" s="2429"/>
      <c r="BC1" s="2429"/>
      <c r="BD1" s="2429"/>
      <c r="BE1" s="2430"/>
    </row>
    <row r="2" spans="1:57" ht="45.95" customHeight="1">
      <c r="A2" s="2431" t="s">
        <v>491</v>
      </c>
      <c r="B2" s="2432"/>
      <c r="C2" s="2432"/>
      <c r="D2" s="2432"/>
      <c r="E2" s="2432"/>
      <c r="F2" s="2432"/>
      <c r="G2" s="2432"/>
      <c r="H2" s="2432"/>
      <c r="I2" s="2432"/>
      <c r="J2" s="2432"/>
      <c r="K2" s="2432"/>
      <c r="L2" s="2432"/>
      <c r="M2" s="2432"/>
      <c r="N2" s="2432"/>
      <c r="O2" s="2432"/>
      <c r="P2" s="2432"/>
      <c r="Q2" s="2432"/>
      <c r="R2" s="2432"/>
      <c r="S2" s="2432"/>
      <c r="T2" s="2432"/>
      <c r="U2" s="2432"/>
      <c r="V2" s="2432"/>
      <c r="W2" s="2432"/>
      <c r="X2" s="2432"/>
      <c r="Y2" s="2432"/>
      <c r="Z2" s="2432"/>
      <c r="AA2" s="2432"/>
      <c r="AB2" s="2432"/>
      <c r="AC2" s="2432"/>
      <c r="AD2" s="2432"/>
      <c r="AE2" s="2432"/>
      <c r="AF2" s="2432"/>
      <c r="AG2" s="2432"/>
      <c r="AH2" s="2432"/>
      <c r="AI2" s="2432"/>
      <c r="AJ2" s="2432"/>
      <c r="AK2" s="2432"/>
      <c r="AL2" s="2432"/>
      <c r="AM2" s="2432"/>
      <c r="AN2" s="2432"/>
      <c r="AO2" s="2432"/>
      <c r="AP2" s="2432"/>
      <c r="AQ2" s="2432"/>
      <c r="AR2" s="2432"/>
      <c r="AS2" s="2432"/>
      <c r="AT2" s="2432"/>
      <c r="AU2" s="2432"/>
      <c r="AV2" s="2432"/>
      <c r="AW2" s="2432"/>
      <c r="AX2" s="2432"/>
      <c r="AY2" s="2432"/>
      <c r="AZ2" s="2432"/>
      <c r="BA2" s="2432"/>
      <c r="BB2" s="2432"/>
      <c r="BC2" s="2432"/>
      <c r="BD2" s="2432"/>
      <c r="BE2" s="2433"/>
    </row>
    <row r="3" spans="1:57" ht="45.95" customHeight="1">
      <c r="A3" s="2434" t="s">
        <v>538</v>
      </c>
      <c r="B3" s="2435"/>
      <c r="C3" s="2435"/>
      <c r="D3" s="2435"/>
      <c r="E3" s="2435"/>
      <c r="F3" s="2435"/>
      <c r="G3" s="2435"/>
      <c r="H3" s="2435"/>
      <c r="I3" s="2435"/>
      <c r="J3" s="2435"/>
      <c r="K3" s="2435"/>
      <c r="L3" s="2435"/>
      <c r="M3" s="2435"/>
      <c r="N3" s="2435"/>
      <c r="O3" s="2435"/>
      <c r="P3" s="2435"/>
      <c r="Q3" s="2435"/>
      <c r="R3" s="2435"/>
      <c r="S3" s="2435"/>
      <c r="T3" s="2435"/>
      <c r="U3" s="2435"/>
      <c r="V3" s="2435"/>
      <c r="W3" s="2435"/>
      <c r="X3" s="2435"/>
      <c r="Y3" s="2435"/>
      <c r="Z3" s="2435"/>
      <c r="AA3" s="2435"/>
      <c r="AB3" s="2435"/>
      <c r="AC3" s="2435"/>
      <c r="AD3" s="2435"/>
      <c r="AE3" s="2435"/>
      <c r="AF3" s="2435"/>
      <c r="AG3" s="2435"/>
      <c r="AH3" s="2435"/>
      <c r="AI3" s="2435"/>
      <c r="AJ3" s="2435"/>
      <c r="AK3" s="2435"/>
      <c r="AL3" s="2435"/>
      <c r="AM3" s="2435"/>
      <c r="AN3" s="2435"/>
      <c r="AO3" s="2435"/>
      <c r="AP3" s="2435"/>
      <c r="AQ3" s="2435"/>
      <c r="AR3" s="2435"/>
      <c r="AS3" s="2435"/>
      <c r="AT3" s="2435"/>
      <c r="AU3" s="2435"/>
      <c r="AV3" s="2435"/>
      <c r="AW3" s="2435"/>
      <c r="AX3" s="2435"/>
      <c r="AY3" s="2435"/>
      <c r="AZ3" s="2435"/>
      <c r="BA3" s="2435"/>
      <c r="BB3" s="2435"/>
      <c r="BC3" s="2435"/>
      <c r="BD3" s="2435"/>
      <c r="BE3" s="2436"/>
    </row>
    <row r="4" spans="1:57" ht="96.95" customHeight="1">
      <c r="A4" s="718" t="s">
        <v>455</v>
      </c>
      <c r="B4" s="719" t="s">
        <v>188</v>
      </c>
      <c r="C4" s="720" t="s">
        <v>493</v>
      </c>
      <c r="D4" s="720" t="s">
        <v>494</v>
      </c>
      <c r="E4" s="721" t="s">
        <v>495</v>
      </c>
      <c r="F4" s="720">
        <v>43831</v>
      </c>
      <c r="G4" s="720">
        <f t="shared" ref="G4:AL4" si="0">+F4+1</f>
        <v>43832</v>
      </c>
      <c r="H4" s="720">
        <f t="shared" si="0"/>
        <v>43833</v>
      </c>
      <c r="I4" s="720">
        <f t="shared" si="0"/>
        <v>43834</v>
      </c>
      <c r="J4" s="720">
        <f t="shared" si="0"/>
        <v>43835</v>
      </c>
      <c r="K4" s="720">
        <f t="shared" si="0"/>
        <v>43836</v>
      </c>
      <c r="L4" s="720">
        <f t="shared" si="0"/>
        <v>43837</v>
      </c>
      <c r="M4" s="720">
        <f t="shared" si="0"/>
        <v>43838</v>
      </c>
      <c r="N4" s="720">
        <f t="shared" si="0"/>
        <v>43839</v>
      </c>
      <c r="O4" s="720">
        <f t="shared" si="0"/>
        <v>43840</v>
      </c>
      <c r="P4" s="720">
        <f t="shared" si="0"/>
        <v>43841</v>
      </c>
      <c r="Q4" s="720">
        <f t="shared" si="0"/>
        <v>43842</v>
      </c>
      <c r="R4" s="720">
        <f t="shared" si="0"/>
        <v>43843</v>
      </c>
      <c r="S4" s="720">
        <f t="shared" si="0"/>
        <v>43844</v>
      </c>
      <c r="T4" s="720">
        <f t="shared" si="0"/>
        <v>43845</v>
      </c>
      <c r="U4" s="720">
        <f t="shared" si="0"/>
        <v>43846</v>
      </c>
      <c r="V4" s="720">
        <f t="shared" si="0"/>
        <v>43847</v>
      </c>
      <c r="W4" s="720">
        <f t="shared" si="0"/>
        <v>43848</v>
      </c>
      <c r="X4" s="720">
        <f t="shared" si="0"/>
        <v>43849</v>
      </c>
      <c r="Y4" s="720">
        <f t="shared" si="0"/>
        <v>43850</v>
      </c>
      <c r="Z4" s="720">
        <f t="shared" si="0"/>
        <v>43851</v>
      </c>
      <c r="AA4" s="720">
        <f t="shared" si="0"/>
        <v>43852</v>
      </c>
      <c r="AB4" s="720">
        <f t="shared" si="0"/>
        <v>43853</v>
      </c>
      <c r="AC4" s="720">
        <f t="shared" si="0"/>
        <v>43854</v>
      </c>
      <c r="AD4" s="720">
        <f t="shared" si="0"/>
        <v>43855</v>
      </c>
      <c r="AE4" s="720">
        <f t="shared" si="0"/>
        <v>43856</v>
      </c>
      <c r="AF4" s="720">
        <f t="shared" si="0"/>
        <v>43857</v>
      </c>
      <c r="AG4" s="720">
        <f t="shared" si="0"/>
        <v>43858</v>
      </c>
      <c r="AH4" s="720">
        <f t="shared" si="0"/>
        <v>43859</v>
      </c>
      <c r="AI4" s="720">
        <f t="shared" si="0"/>
        <v>43860</v>
      </c>
      <c r="AJ4" s="720">
        <f t="shared" si="0"/>
        <v>43861</v>
      </c>
      <c r="AK4" s="720">
        <f t="shared" si="0"/>
        <v>43862</v>
      </c>
      <c r="AL4" s="720">
        <f t="shared" si="0"/>
        <v>43863</v>
      </c>
      <c r="AM4" s="720">
        <f t="shared" ref="AM4:BE4" si="1">+AL4+1</f>
        <v>43864</v>
      </c>
      <c r="AN4" s="720">
        <f t="shared" si="1"/>
        <v>43865</v>
      </c>
      <c r="AO4" s="720">
        <f t="shared" si="1"/>
        <v>43866</v>
      </c>
      <c r="AP4" s="720">
        <f t="shared" si="1"/>
        <v>43867</v>
      </c>
      <c r="AQ4" s="720">
        <f t="shared" si="1"/>
        <v>43868</v>
      </c>
      <c r="AR4" s="720">
        <f t="shared" si="1"/>
        <v>43869</v>
      </c>
      <c r="AS4" s="720">
        <f t="shared" si="1"/>
        <v>43870</v>
      </c>
      <c r="AT4" s="720">
        <f t="shared" si="1"/>
        <v>43871</v>
      </c>
      <c r="AU4" s="720">
        <f t="shared" si="1"/>
        <v>43872</v>
      </c>
      <c r="AV4" s="720">
        <f t="shared" si="1"/>
        <v>43873</v>
      </c>
      <c r="AW4" s="720">
        <f t="shared" si="1"/>
        <v>43874</v>
      </c>
      <c r="AX4" s="720">
        <f t="shared" si="1"/>
        <v>43875</v>
      </c>
      <c r="AY4" s="720">
        <f t="shared" si="1"/>
        <v>43876</v>
      </c>
      <c r="AZ4" s="720">
        <f t="shared" si="1"/>
        <v>43877</v>
      </c>
      <c r="BA4" s="720">
        <f t="shared" si="1"/>
        <v>43878</v>
      </c>
      <c r="BB4" s="720">
        <f t="shared" si="1"/>
        <v>43879</v>
      </c>
      <c r="BC4" s="720">
        <f t="shared" si="1"/>
        <v>43880</v>
      </c>
      <c r="BD4" s="720">
        <f t="shared" si="1"/>
        <v>43881</v>
      </c>
      <c r="BE4" s="720">
        <f t="shared" si="1"/>
        <v>43882</v>
      </c>
    </row>
    <row r="5" spans="1:57" ht="45.95" customHeight="1">
      <c r="A5" s="718"/>
      <c r="B5" s="761" t="s">
        <v>496</v>
      </c>
      <c r="C5" s="723"/>
      <c r="D5" s="723"/>
      <c r="E5" s="724"/>
      <c r="F5" s="723"/>
      <c r="G5" s="723"/>
      <c r="H5" s="723"/>
      <c r="I5" s="723"/>
      <c r="J5" s="723"/>
      <c r="K5" s="723"/>
      <c r="L5" s="723"/>
      <c r="M5" s="723">
        <v>1</v>
      </c>
      <c r="N5" s="723">
        <f t="shared" ref="N5:BE5" si="2">+M5+1</f>
        <v>2</v>
      </c>
      <c r="O5" s="723">
        <f t="shared" si="2"/>
        <v>3</v>
      </c>
      <c r="P5" s="723">
        <f t="shared" si="2"/>
        <v>4</v>
      </c>
      <c r="Q5" s="723">
        <f t="shared" si="2"/>
        <v>5</v>
      </c>
      <c r="R5" s="723">
        <f t="shared" si="2"/>
        <v>6</v>
      </c>
      <c r="S5" s="723">
        <f t="shared" si="2"/>
        <v>7</v>
      </c>
      <c r="T5" s="723">
        <f t="shared" si="2"/>
        <v>8</v>
      </c>
      <c r="U5" s="723">
        <f t="shared" si="2"/>
        <v>9</v>
      </c>
      <c r="V5" s="723">
        <f t="shared" si="2"/>
        <v>10</v>
      </c>
      <c r="W5" s="723">
        <f t="shared" si="2"/>
        <v>11</v>
      </c>
      <c r="X5" s="723">
        <f t="shared" si="2"/>
        <v>12</v>
      </c>
      <c r="Y5" s="723">
        <f t="shared" si="2"/>
        <v>13</v>
      </c>
      <c r="Z5" s="723">
        <f t="shared" si="2"/>
        <v>14</v>
      </c>
      <c r="AA5" s="723">
        <f t="shared" si="2"/>
        <v>15</v>
      </c>
      <c r="AB5" s="723">
        <f t="shared" si="2"/>
        <v>16</v>
      </c>
      <c r="AC5" s="723">
        <f t="shared" si="2"/>
        <v>17</v>
      </c>
      <c r="AD5" s="723">
        <f t="shared" si="2"/>
        <v>18</v>
      </c>
      <c r="AE5" s="723">
        <f t="shared" si="2"/>
        <v>19</v>
      </c>
      <c r="AF5" s="723">
        <f t="shared" si="2"/>
        <v>20</v>
      </c>
      <c r="AG5" s="723">
        <f t="shared" si="2"/>
        <v>21</v>
      </c>
      <c r="AH5" s="723">
        <f t="shared" si="2"/>
        <v>22</v>
      </c>
      <c r="AI5" s="723">
        <f t="shared" si="2"/>
        <v>23</v>
      </c>
      <c r="AJ5" s="723">
        <f t="shared" si="2"/>
        <v>24</v>
      </c>
      <c r="AK5" s="723">
        <f t="shared" si="2"/>
        <v>25</v>
      </c>
      <c r="AL5" s="723">
        <f t="shared" si="2"/>
        <v>26</v>
      </c>
      <c r="AM5" s="723">
        <f t="shared" si="2"/>
        <v>27</v>
      </c>
      <c r="AN5" s="723">
        <f t="shared" si="2"/>
        <v>28</v>
      </c>
      <c r="AO5" s="723">
        <f t="shared" si="2"/>
        <v>29</v>
      </c>
      <c r="AP5" s="723">
        <f t="shared" si="2"/>
        <v>30</v>
      </c>
      <c r="AQ5" s="723">
        <f t="shared" si="2"/>
        <v>31</v>
      </c>
      <c r="AR5" s="723">
        <f t="shared" si="2"/>
        <v>32</v>
      </c>
      <c r="AS5" s="723">
        <f t="shared" si="2"/>
        <v>33</v>
      </c>
      <c r="AT5" s="723">
        <f t="shared" si="2"/>
        <v>34</v>
      </c>
      <c r="AU5" s="723">
        <f t="shared" si="2"/>
        <v>35</v>
      </c>
      <c r="AV5" s="723">
        <f t="shared" si="2"/>
        <v>36</v>
      </c>
      <c r="AW5" s="723">
        <f t="shared" si="2"/>
        <v>37</v>
      </c>
      <c r="AX5" s="723">
        <f t="shared" si="2"/>
        <v>38</v>
      </c>
      <c r="AY5" s="723">
        <f t="shared" si="2"/>
        <v>39</v>
      </c>
      <c r="AZ5" s="723">
        <f t="shared" si="2"/>
        <v>40</v>
      </c>
      <c r="BA5" s="723">
        <f t="shared" si="2"/>
        <v>41</v>
      </c>
      <c r="BB5" s="723">
        <f t="shared" si="2"/>
        <v>42</v>
      </c>
      <c r="BC5" s="723">
        <f t="shared" si="2"/>
        <v>43</v>
      </c>
      <c r="BD5" s="723">
        <f t="shared" si="2"/>
        <v>44</v>
      </c>
      <c r="BE5" s="723">
        <f t="shared" si="2"/>
        <v>45</v>
      </c>
    </row>
    <row r="6" spans="1:57" ht="45.95" customHeight="1">
      <c r="A6" s="762"/>
      <c r="B6" s="763" t="s">
        <v>522</v>
      </c>
      <c r="C6" s="764"/>
      <c r="D6" s="731"/>
      <c r="E6" s="730"/>
      <c r="F6" s="765"/>
      <c r="G6" s="765"/>
      <c r="H6" s="765"/>
      <c r="I6" s="765"/>
      <c r="J6" s="765"/>
      <c r="K6" s="765"/>
      <c r="L6" s="765"/>
      <c r="M6" s="765"/>
      <c r="N6" s="765"/>
      <c r="O6" s="765"/>
      <c r="P6" s="765"/>
      <c r="Q6" s="765"/>
      <c r="R6" s="765"/>
      <c r="S6" s="765"/>
      <c r="T6" s="765"/>
      <c r="U6" s="765"/>
      <c r="V6" s="765"/>
      <c r="W6" s="765"/>
      <c r="X6" s="765"/>
      <c r="Y6" s="765"/>
      <c r="Z6" s="765"/>
      <c r="AA6" s="765"/>
      <c r="AB6" s="765"/>
      <c r="AC6" s="765"/>
      <c r="AD6" s="765"/>
      <c r="AE6" s="765"/>
      <c r="AF6" s="765"/>
      <c r="AG6" s="765"/>
      <c r="AH6" s="765"/>
      <c r="AI6" s="765"/>
      <c r="AJ6" s="765"/>
      <c r="AK6" s="765"/>
      <c r="AL6" s="765"/>
      <c r="AM6" s="765"/>
      <c r="AN6" s="765"/>
      <c r="AO6" s="765"/>
      <c r="AP6" s="765"/>
      <c r="AQ6" s="765"/>
      <c r="AR6" s="765"/>
      <c r="AS6" s="765"/>
      <c r="AT6" s="765"/>
      <c r="AU6" s="765"/>
      <c r="AV6" s="765"/>
      <c r="AW6" s="765"/>
      <c r="AX6" s="765"/>
      <c r="AY6" s="765"/>
      <c r="AZ6" s="766"/>
      <c r="BA6" s="766"/>
      <c r="BB6" s="766"/>
      <c r="BC6" s="766"/>
      <c r="BD6" s="766"/>
      <c r="BE6" s="766"/>
    </row>
    <row r="7" spans="1:57" ht="45.95" customHeight="1">
      <c r="A7" s="762" t="s">
        <v>456</v>
      </c>
      <c r="B7" s="745" t="s">
        <v>539</v>
      </c>
      <c r="C7" s="764">
        <v>24</v>
      </c>
      <c r="D7" s="731">
        <f>C7/$C$58</f>
        <v>3.3277870216306157E-3</v>
      </c>
      <c r="E7" s="744"/>
      <c r="F7" s="765"/>
      <c r="G7" s="765"/>
      <c r="H7" s="765"/>
      <c r="I7" s="765"/>
      <c r="J7" s="765"/>
      <c r="K7" s="765"/>
      <c r="L7" s="765"/>
      <c r="M7" s="765"/>
      <c r="N7" s="765"/>
      <c r="O7" s="765"/>
      <c r="P7" s="765"/>
      <c r="Q7" s="765"/>
      <c r="R7" s="765"/>
      <c r="S7" s="765"/>
      <c r="T7" s="765"/>
      <c r="U7" s="765"/>
      <c r="V7" s="765"/>
      <c r="W7" s="765"/>
      <c r="X7" s="765"/>
      <c r="Y7" s="765"/>
      <c r="Z7" s="765"/>
      <c r="AA7" s="765"/>
      <c r="AB7" s="765"/>
      <c r="AC7" s="765"/>
      <c r="AD7" s="765"/>
      <c r="AE7" s="765"/>
      <c r="AF7" s="767">
        <v>100</v>
      </c>
      <c r="AG7" s="766"/>
      <c r="AH7" s="766"/>
      <c r="AI7" s="766"/>
      <c r="AJ7" s="766"/>
      <c r="AK7" s="766"/>
      <c r="AL7" s="766"/>
      <c r="AM7" s="766"/>
      <c r="AN7" s="766"/>
      <c r="AO7" s="766"/>
      <c r="AP7" s="766"/>
      <c r="AQ7" s="766"/>
      <c r="AR7" s="766"/>
      <c r="AS7" s="766"/>
      <c r="AT7" s="766"/>
      <c r="AU7" s="766">
        <v>100</v>
      </c>
      <c r="AV7" s="766">
        <v>100</v>
      </c>
      <c r="AW7" s="766">
        <v>100</v>
      </c>
      <c r="AX7" s="766">
        <v>100</v>
      </c>
      <c r="AY7" s="766">
        <v>100</v>
      </c>
      <c r="AZ7" s="766">
        <v>100</v>
      </c>
      <c r="BA7" s="766">
        <v>100</v>
      </c>
      <c r="BB7" s="766">
        <v>100</v>
      </c>
      <c r="BC7" s="766">
        <v>100</v>
      </c>
      <c r="BD7" s="766">
        <v>100</v>
      </c>
      <c r="BE7" s="766">
        <v>100</v>
      </c>
    </row>
    <row r="8" spans="1:57" ht="45.95" customHeight="1">
      <c r="A8" s="741" t="s">
        <v>405</v>
      </c>
      <c r="B8" s="745" t="s">
        <v>540</v>
      </c>
      <c r="C8" s="736">
        <v>167</v>
      </c>
      <c r="D8" s="731">
        <f>C8/$C$58</f>
        <v>2.3155851358846367E-2</v>
      </c>
      <c r="E8" s="744"/>
      <c r="F8" s="765"/>
      <c r="G8" s="768"/>
      <c r="H8" s="765"/>
      <c r="I8" s="765"/>
      <c r="J8" s="765"/>
      <c r="K8" s="765"/>
      <c r="L8" s="765"/>
      <c r="M8" s="767">
        <v>16.666666666666668</v>
      </c>
      <c r="N8" s="767">
        <v>33.666666666666671</v>
      </c>
      <c r="O8" s="767">
        <v>50.666666666666671</v>
      </c>
      <c r="P8" s="767">
        <v>67.666666666666671</v>
      </c>
      <c r="Q8" s="767">
        <v>84.666666666666671</v>
      </c>
      <c r="R8" s="767">
        <v>100</v>
      </c>
      <c r="S8" s="766"/>
      <c r="T8" s="766"/>
      <c r="U8" s="766"/>
      <c r="V8" s="766"/>
      <c r="W8" s="766"/>
      <c r="X8" s="766"/>
      <c r="Y8" s="766"/>
      <c r="Z8" s="766"/>
      <c r="AA8" s="766"/>
      <c r="AB8" s="766"/>
      <c r="AC8" s="766"/>
      <c r="AD8" s="766"/>
      <c r="AE8" s="766"/>
      <c r="AF8" s="766"/>
      <c r="AG8" s="766"/>
      <c r="AH8" s="766"/>
      <c r="AI8" s="766"/>
      <c r="AJ8" s="766"/>
      <c r="AK8" s="766"/>
      <c r="AL8" s="766"/>
      <c r="AM8" s="766"/>
      <c r="AN8" s="766"/>
      <c r="AO8" s="766"/>
      <c r="AP8" s="766"/>
      <c r="AQ8" s="766"/>
      <c r="AR8" s="766"/>
      <c r="AS8" s="766"/>
      <c r="AT8" s="766"/>
      <c r="AU8" s="766">
        <v>100</v>
      </c>
      <c r="AV8" s="766">
        <v>100</v>
      </c>
      <c r="AW8" s="766">
        <v>100</v>
      </c>
      <c r="AX8" s="766">
        <v>100</v>
      </c>
      <c r="AY8" s="766">
        <v>100</v>
      </c>
      <c r="AZ8" s="766">
        <v>100</v>
      </c>
      <c r="BA8" s="766">
        <v>100</v>
      </c>
      <c r="BB8" s="766">
        <v>100</v>
      </c>
      <c r="BC8" s="766">
        <v>100</v>
      </c>
      <c r="BD8" s="766">
        <v>100</v>
      </c>
      <c r="BE8" s="766">
        <v>100</v>
      </c>
    </row>
    <row r="9" spans="1:57" ht="45.95" customHeight="1">
      <c r="A9" s="741"/>
      <c r="B9" s="769" t="s">
        <v>541</v>
      </c>
      <c r="C9" s="736"/>
      <c r="D9" s="736"/>
      <c r="E9" s="736"/>
      <c r="F9" s="765"/>
      <c r="G9" s="765"/>
      <c r="H9" s="765"/>
      <c r="I9" s="765"/>
      <c r="J9" s="765"/>
      <c r="K9" s="765"/>
      <c r="L9" s="765"/>
      <c r="M9" s="765"/>
      <c r="N9" s="765"/>
      <c r="O9" s="765"/>
      <c r="P9" s="765"/>
      <c r="Q9" s="765"/>
      <c r="R9" s="765"/>
      <c r="S9" s="765"/>
      <c r="T9" s="765"/>
      <c r="U9" s="765"/>
      <c r="V9" s="765"/>
      <c r="W9" s="765"/>
      <c r="X9" s="765"/>
      <c r="Y9" s="765"/>
      <c r="Z9" s="765"/>
      <c r="AA9" s="765"/>
      <c r="AB9" s="765"/>
      <c r="AC9" s="765"/>
      <c r="AD9" s="765"/>
      <c r="AE9" s="765"/>
      <c r="AF9" s="765"/>
      <c r="AG9" s="765"/>
      <c r="AH9" s="765"/>
      <c r="AI9" s="765"/>
      <c r="AJ9" s="765"/>
      <c r="AK9" s="765"/>
      <c r="AL9" s="765"/>
      <c r="AM9" s="765"/>
      <c r="AN9" s="765"/>
      <c r="AO9" s="765"/>
      <c r="AP9" s="765"/>
      <c r="AQ9" s="765"/>
      <c r="AR9" s="765"/>
      <c r="AS9" s="765"/>
      <c r="AT9" s="765"/>
      <c r="AU9" s="766"/>
      <c r="AV9" s="766"/>
      <c r="AW9" s="766"/>
      <c r="AX9" s="766"/>
      <c r="AY9" s="766"/>
      <c r="AZ9" s="766"/>
      <c r="BA9" s="766"/>
      <c r="BB9" s="766"/>
      <c r="BC9" s="766"/>
      <c r="BD9" s="766"/>
      <c r="BE9" s="766"/>
    </row>
    <row r="10" spans="1:57" ht="45.95" customHeight="1">
      <c r="A10" s="741" t="s">
        <v>406</v>
      </c>
      <c r="B10" s="745" t="s">
        <v>542</v>
      </c>
      <c r="C10" s="736">
        <v>136</v>
      </c>
      <c r="D10" s="731">
        <f>C10/$C$58</f>
        <v>1.8857459789240156E-2</v>
      </c>
      <c r="E10" s="744"/>
      <c r="F10" s="765"/>
      <c r="G10" s="765"/>
      <c r="H10" s="765"/>
      <c r="I10" s="765"/>
      <c r="J10" s="765"/>
      <c r="K10" s="765"/>
      <c r="L10" s="765"/>
      <c r="M10" s="765"/>
      <c r="N10" s="765"/>
      <c r="O10" s="765"/>
      <c r="P10" s="767">
        <v>14</v>
      </c>
      <c r="Q10" s="767">
        <v>28</v>
      </c>
      <c r="R10" s="767">
        <v>42</v>
      </c>
      <c r="S10" s="767">
        <v>56</v>
      </c>
      <c r="T10" s="767">
        <v>70</v>
      </c>
      <c r="U10" s="767">
        <v>84</v>
      </c>
      <c r="V10" s="767">
        <v>100</v>
      </c>
      <c r="W10" s="766"/>
      <c r="X10" s="766"/>
      <c r="Y10" s="766"/>
      <c r="Z10" s="766"/>
      <c r="AA10" s="766"/>
      <c r="AB10" s="766"/>
      <c r="AC10" s="766"/>
      <c r="AD10" s="766"/>
      <c r="AE10" s="766"/>
      <c r="AF10" s="766"/>
      <c r="AG10" s="766"/>
      <c r="AH10" s="766"/>
      <c r="AI10" s="766"/>
      <c r="AJ10" s="766"/>
      <c r="AK10" s="766"/>
      <c r="AL10" s="766"/>
      <c r="AM10" s="766"/>
      <c r="AN10" s="766"/>
      <c r="AO10" s="766"/>
      <c r="AP10" s="766"/>
      <c r="AQ10" s="766"/>
      <c r="AR10" s="766"/>
      <c r="AS10" s="766"/>
      <c r="AT10" s="766"/>
      <c r="AU10" s="766">
        <v>100</v>
      </c>
      <c r="AV10" s="766">
        <v>100</v>
      </c>
      <c r="AW10" s="766">
        <v>100</v>
      </c>
      <c r="AX10" s="766">
        <v>100</v>
      </c>
      <c r="AY10" s="766">
        <v>100</v>
      </c>
      <c r="AZ10" s="766">
        <v>100</v>
      </c>
      <c r="BA10" s="766">
        <v>100</v>
      </c>
      <c r="BB10" s="766">
        <v>100</v>
      </c>
      <c r="BC10" s="766">
        <v>100</v>
      </c>
      <c r="BD10" s="766">
        <v>100</v>
      </c>
      <c r="BE10" s="766">
        <v>100</v>
      </c>
    </row>
    <row r="11" spans="1:57" ht="45.95" customHeight="1">
      <c r="A11" s="741"/>
      <c r="B11" s="763" t="s">
        <v>543</v>
      </c>
      <c r="C11" s="736"/>
      <c r="D11" s="736"/>
      <c r="E11" s="736"/>
      <c r="F11" s="765"/>
      <c r="G11" s="765"/>
      <c r="H11" s="765"/>
      <c r="I11" s="765"/>
      <c r="J11" s="765"/>
      <c r="K11" s="765"/>
      <c r="L11" s="765"/>
      <c r="M11" s="765"/>
      <c r="N11" s="765"/>
      <c r="O11" s="765"/>
      <c r="P11" s="765"/>
      <c r="Q11" s="765"/>
      <c r="R11" s="765"/>
      <c r="S11" s="765"/>
      <c r="T11" s="765"/>
      <c r="U11" s="765"/>
      <c r="V11" s="765"/>
      <c r="W11" s="765"/>
      <c r="X11" s="765"/>
      <c r="Y11" s="765"/>
      <c r="Z11" s="765"/>
      <c r="AA11" s="765"/>
      <c r="AB11" s="765"/>
      <c r="AC11" s="765"/>
      <c r="AD11" s="765"/>
      <c r="AE11" s="765"/>
      <c r="AF11" s="765"/>
      <c r="AG11" s="765"/>
      <c r="AH11" s="765"/>
      <c r="AI11" s="765"/>
      <c r="AJ11" s="765"/>
      <c r="AK11" s="765"/>
      <c r="AL11" s="765"/>
      <c r="AM11" s="765"/>
      <c r="AN11" s="765"/>
      <c r="AO11" s="765"/>
      <c r="AP11" s="765"/>
      <c r="AQ11" s="765"/>
      <c r="AR11" s="765"/>
      <c r="AS11" s="765"/>
      <c r="AT11" s="765"/>
      <c r="AU11" s="766"/>
      <c r="AV11" s="766"/>
      <c r="AW11" s="766"/>
      <c r="AX11" s="766"/>
      <c r="AY11" s="766"/>
      <c r="AZ11" s="766"/>
      <c r="BA11" s="766"/>
      <c r="BB11" s="766"/>
      <c r="BC11" s="766"/>
      <c r="BD11" s="766"/>
      <c r="BE11" s="766"/>
    </row>
    <row r="12" spans="1:57" ht="45.95" customHeight="1">
      <c r="A12" s="741" t="s">
        <v>457</v>
      </c>
      <c r="B12" s="745" t="s">
        <v>544</v>
      </c>
      <c r="C12" s="736">
        <v>142</v>
      </c>
      <c r="D12" s="731">
        <f>C12/$C$58</f>
        <v>1.9689406544647809E-2</v>
      </c>
      <c r="E12" s="744"/>
      <c r="F12" s="765"/>
      <c r="G12" s="765"/>
      <c r="H12" s="765"/>
      <c r="I12" s="765"/>
      <c r="J12" s="765"/>
      <c r="K12" s="765"/>
      <c r="L12" s="765"/>
      <c r="M12" s="765"/>
      <c r="N12" s="765"/>
      <c r="O12" s="765"/>
      <c r="P12" s="767">
        <v>33</v>
      </c>
      <c r="Q12" s="767">
        <v>66</v>
      </c>
      <c r="R12" s="767">
        <v>100</v>
      </c>
      <c r="S12" s="766"/>
      <c r="T12" s="766"/>
      <c r="U12" s="766"/>
      <c r="V12" s="766"/>
      <c r="W12" s="766"/>
      <c r="X12" s="766"/>
      <c r="Y12" s="766"/>
      <c r="Z12" s="766"/>
      <c r="AA12" s="766"/>
      <c r="AB12" s="766"/>
      <c r="AC12" s="766"/>
      <c r="AD12" s="766"/>
      <c r="AE12" s="766"/>
      <c r="AF12" s="766"/>
      <c r="AG12" s="766"/>
      <c r="AH12" s="766"/>
      <c r="AI12" s="766"/>
      <c r="AJ12" s="766"/>
      <c r="AK12" s="766"/>
      <c r="AL12" s="766"/>
      <c r="AM12" s="766"/>
      <c r="AN12" s="766"/>
      <c r="AO12" s="766"/>
      <c r="AP12" s="766"/>
      <c r="AQ12" s="766"/>
      <c r="AR12" s="766"/>
      <c r="AS12" s="766"/>
      <c r="AT12" s="766"/>
      <c r="AU12" s="766">
        <v>100</v>
      </c>
      <c r="AV12" s="766">
        <v>100</v>
      </c>
      <c r="AW12" s="766">
        <v>100</v>
      </c>
      <c r="AX12" s="766">
        <v>100</v>
      </c>
      <c r="AY12" s="766">
        <v>100</v>
      </c>
      <c r="AZ12" s="766">
        <v>100</v>
      </c>
      <c r="BA12" s="766">
        <v>100</v>
      </c>
      <c r="BB12" s="766">
        <v>100</v>
      </c>
      <c r="BC12" s="766">
        <v>100</v>
      </c>
      <c r="BD12" s="766">
        <v>100</v>
      </c>
      <c r="BE12" s="766">
        <v>100</v>
      </c>
    </row>
    <row r="13" spans="1:57" ht="45.95" customHeight="1">
      <c r="A13" s="741" t="s">
        <v>458</v>
      </c>
      <c r="B13" s="745" t="s">
        <v>545</v>
      </c>
      <c r="C13" s="736">
        <v>162</v>
      </c>
      <c r="D13" s="731">
        <f>C13/$C$58</f>
        <v>2.2462562396006656E-2</v>
      </c>
      <c r="E13" s="744"/>
      <c r="F13" s="765"/>
      <c r="G13" s="765"/>
      <c r="H13" s="765"/>
      <c r="I13" s="765"/>
      <c r="J13" s="765"/>
      <c r="K13" s="765"/>
      <c r="L13" s="765"/>
      <c r="M13" s="765"/>
      <c r="N13" s="765"/>
      <c r="O13" s="765"/>
      <c r="P13" s="765"/>
      <c r="Q13" s="765"/>
      <c r="R13" s="767">
        <v>33</v>
      </c>
      <c r="S13" s="767">
        <v>66</v>
      </c>
      <c r="T13" s="767">
        <v>100</v>
      </c>
      <c r="U13" s="766"/>
      <c r="V13" s="766"/>
      <c r="W13" s="766"/>
      <c r="X13" s="766"/>
      <c r="Y13" s="766"/>
      <c r="Z13" s="766"/>
      <c r="AA13" s="766"/>
      <c r="AB13" s="766"/>
      <c r="AC13" s="766"/>
      <c r="AD13" s="766"/>
      <c r="AE13" s="766"/>
      <c r="AF13" s="766"/>
      <c r="AG13" s="766"/>
      <c r="AH13" s="766"/>
      <c r="AI13" s="766"/>
      <c r="AJ13" s="766"/>
      <c r="AK13" s="766"/>
      <c r="AL13" s="766"/>
      <c r="AM13" s="766"/>
      <c r="AN13" s="766"/>
      <c r="AO13" s="766"/>
      <c r="AP13" s="766"/>
      <c r="AQ13" s="766"/>
      <c r="AR13" s="766"/>
      <c r="AS13" s="766"/>
      <c r="AT13" s="766"/>
      <c r="AU13" s="766">
        <v>100</v>
      </c>
      <c r="AV13" s="766">
        <v>100</v>
      </c>
      <c r="AW13" s="766">
        <v>100</v>
      </c>
      <c r="AX13" s="766">
        <v>100</v>
      </c>
      <c r="AY13" s="766">
        <v>100</v>
      </c>
      <c r="AZ13" s="766">
        <v>100</v>
      </c>
      <c r="BA13" s="766">
        <v>100</v>
      </c>
      <c r="BB13" s="766">
        <v>100</v>
      </c>
      <c r="BC13" s="766">
        <v>100</v>
      </c>
      <c r="BD13" s="766">
        <v>100</v>
      </c>
      <c r="BE13" s="766">
        <v>100</v>
      </c>
    </row>
    <row r="14" spans="1:57" ht="45.95" customHeight="1">
      <c r="A14" s="741" t="s">
        <v>460</v>
      </c>
      <c r="B14" s="745" t="s">
        <v>546</v>
      </c>
      <c r="C14" s="736">
        <v>94</v>
      </c>
      <c r="D14" s="731">
        <f>C14/$C$58</f>
        <v>1.3033832501386578E-2</v>
      </c>
      <c r="E14" s="744"/>
      <c r="F14" s="765"/>
      <c r="G14" s="765"/>
      <c r="H14" s="765"/>
      <c r="I14" s="765"/>
      <c r="J14" s="765"/>
      <c r="K14" s="765"/>
      <c r="L14" s="765"/>
      <c r="M14" s="765"/>
      <c r="N14" s="765"/>
      <c r="O14" s="765"/>
      <c r="P14" s="765"/>
      <c r="Q14" s="765"/>
      <c r="R14" s="767">
        <v>25</v>
      </c>
      <c r="S14" s="767">
        <v>50</v>
      </c>
      <c r="T14" s="767">
        <v>75</v>
      </c>
      <c r="U14" s="767">
        <v>100</v>
      </c>
      <c r="V14" s="766"/>
      <c r="W14" s="766"/>
      <c r="X14" s="766"/>
      <c r="Y14" s="766"/>
      <c r="Z14" s="766"/>
      <c r="AA14" s="766"/>
      <c r="AB14" s="766"/>
      <c r="AC14" s="766"/>
      <c r="AD14" s="766"/>
      <c r="AE14" s="766"/>
      <c r="AF14" s="766"/>
      <c r="AG14" s="766"/>
      <c r="AH14" s="766"/>
      <c r="AI14" s="766"/>
      <c r="AJ14" s="766"/>
      <c r="AK14" s="766"/>
      <c r="AL14" s="766"/>
      <c r="AM14" s="766"/>
      <c r="AN14" s="766"/>
      <c r="AO14" s="766"/>
      <c r="AP14" s="766"/>
      <c r="AQ14" s="766"/>
      <c r="AR14" s="766"/>
      <c r="AS14" s="766"/>
      <c r="AT14" s="766"/>
      <c r="AU14" s="766">
        <v>100</v>
      </c>
      <c r="AV14" s="766">
        <v>100</v>
      </c>
      <c r="AW14" s="766">
        <v>100</v>
      </c>
      <c r="AX14" s="766">
        <v>100</v>
      </c>
      <c r="AY14" s="766">
        <v>100</v>
      </c>
      <c r="AZ14" s="766">
        <v>100</v>
      </c>
      <c r="BA14" s="766">
        <v>100</v>
      </c>
      <c r="BB14" s="766">
        <v>100</v>
      </c>
      <c r="BC14" s="766">
        <v>100</v>
      </c>
      <c r="BD14" s="766">
        <v>100</v>
      </c>
      <c r="BE14" s="766">
        <v>100</v>
      </c>
    </row>
    <row r="15" spans="1:57" ht="45.95" customHeight="1">
      <c r="A15" s="741" t="s">
        <v>461</v>
      </c>
      <c r="B15" s="745" t="s">
        <v>547</v>
      </c>
      <c r="C15" s="736">
        <v>365</v>
      </c>
      <c r="D15" s="731">
        <f>C15/$C$58</f>
        <v>5.0610094287298943E-2</v>
      </c>
      <c r="E15" s="744"/>
      <c r="F15" s="765"/>
      <c r="G15" s="765"/>
      <c r="H15" s="765"/>
      <c r="I15" s="765"/>
      <c r="J15" s="765"/>
      <c r="K15" s="765"/>
      <c r="L15" s="765"/>
      <c r="M15" s="765"/>
      <c r="N15" s="765"/>
      <c r="O15" s="765"/>
      <c r="P15" s="765"/>
      <c r="Q15" s="765"/>
      <c r="R15" s="765"/>
      <c r="S15" s="767">
        <v>16.666666666666668</v>
      </c>
      <c r="T15" s="767">
        <v>33.666666666666671</v>
      </c>
      <c r="U15" s="767">
        <v>50.666666666666671</v>
      </c>
      <c r="V15" s="767">
        <v>67.666666666666671</v>
      </c>
      <c r="W15" s="767">
        <v>84.666666666666671</v>
      </c>
      <c r="X15" s="767">
        <v>100</v>
      </c>
      <c r="Y15" s="766"/>
      <c r="Z15" s="766"/>
      <c r="AA15" s="766"/>
      <c r="AB15" s="766"/>
      <c r="AC15" s="766"/>
      <c r="AD15" s="766"/>
      <c r="AE15" s="766"/>
      <c r="AF15" s="766"/>
      <c r="AG15" s="766"/>
      <c r="AH15" s="766"/>
      <c r="AI15" s="766"/>
      <c r="AJ15" s="766"/>
      <c r="AK15" s="766"/>
      <c r="AL15" s="766"/>
      <c r="AM15" s="766"/>
      <c r="AN15" s="766"/>
      <c r="AO15" s="766"/>
      <c r="AP15" s="766"/>
      <c r="AQ15" s="766"/>
      <c r="AR15" s="766"/>
      <c r="AS15" s="766"/>
      <c r="AT15" s="766"/>
      <c r="AU15" s="766">
        <v>100</v>
      </c>
      <c r="AV15" s="766">
        <v>100</v>
      </c>
      <c r="AW15" s="766">
        <v>100</v>
      </c>
      <c r="AX15" s="766">
        <v>100</v>
      </c>
      <c r="AY15" s="766">
        <v>100</v>
      </c>
      <c r="AZ15" s="766">
        <v>100</v>
      </c>
      <c r="BA15" s="766">
        <v>100</v>
      </c>
      <c r="BB15" s="766">
        <v>100</v>
      </c>
      <c r="BC15" s="766">
        <v>100</v>
      </c>
      <c r="BD15" s="766">
        <v>100</v>
      </c>
      <c r="BE15" s="766">
        <v>100</v>
      </c>
    </row>
    <row r="16" spans="1:57" ht="45.95" customHeight="1">
      <c r="A16" s="741"/>
      <c r="B16" s="763" t="s">
        <v>548</v>
      </c>
      <c r="C16" s="736"/>
      <c r="D16" s="736"/>
      <c r="E16" s="736"/>
      <c r="F16" s="765"/>
      <c r="G16" s="765"/>
      <c r="H16" s="765"/>
      <c r="I16" s="765"/>
      <c r="J16" s="765"/>
      <c r="K16" s="765"/>
      <c r="L16" s="765"/>
      <c r="M16" s="765"/>
      <c r="N16" s="765"/>
      <c r="O16" s="765"/>
      <c r="P16" s="765"/>
      <c r="Q16" s="765"/>
      <c r="R16" s="765"/>
      <c r="S16" s="765"/>
      <c r="T16" s="765"/>
      <c r="U16" s="765"/>
      <c r="V16" s="765"/>
      <c r="W16" s="765"/>
      <c r="X16" s="765"/>
      <c r="Y16" s="765"/>
      <c r="Z16" s="765"/>
      <c r="AA16" s="765"/>
      <c r="AB16" s="765"/>
      <c r="AC16" s="765"/>
      <c r="AD16" s="765"/>
      <c r="AE16" s="765"/>
      <c r="AF16" s="765"/>
      <c r="AG16" s="765"/>
      <c r="AH16" s="765"/>
      <c r="AI16" s="765"/>
      <c r="AJ16" s="765"/>
      <c r="AK16" s="765"/>
      <c r="AL16" s="765"/>
      <c r="AM16" s="765"/>
      <c r="AN16" s="765"/>
      <c r="AO16" s="765"/>
      <c r="AP16" s="765"/>
      <c r="AQ16" s="765"/>
      <c r="AR16" s="765"/>
      <c r="AS16" s="765"/>
      <c r="AT16" s="765"/>
      <c r="AU16" s="766"/>
      <c r="AV16" s="766"/>
      <c r="AW16" s="766"/>
      <c r="AX16" s="766"/>
      <c r="AY16" s="766"/>
      <c r="AZ16" s="766"/>
      <c r="BA16" s="766"/>
      <c r="BB16" s="766"/>
      <c r="BC16" s="766"/>
      <c r="BD16" s="766"/>
      <c r="BE16" s="766"/>
    </row>
    <row r="17" spans="1:57" ht="45.95" customHeight="1">
      <c r="A17" s="741" t="s">
        <v>462</v>
      </c>
      <c r="B17" s="745" t="s">
        <v>549</v>
      </c>
      <c r="C17" s="736">
        <v>82</v>
      </c>
      <c r="D17" s="731">
        <f>C17/$C$58</f>
        <v>1.136993899057127E-2</v>
      </c>
      <c r="E17" s="744"/>
      <c r="F17" s="765"/>
      <c r="G17" s="765"/>
      <c r="H17" s="765"/>
      <c r="I17" s="765"/>
      <c r="J17" s="765"/>
      <c r="K17" s="765"/>
      <c r="L17" s="765"/>
      <c r="M17" s="765"/>
      <c r="N17" s="765"/>
      <c r="O17" s="765"/>
      <c r="P17" s="765"/>
      <c r="Q17" s="767">
        <v>50</v>
      </c>
      <c r="R17" s="767">
        <v>100</v>
      </c>
      <c r="S17" s="766"/>
      <c r="T17" s="766"/>
      <c r="U17" s="766"/>
      <c r="V17" s="766"/>
      <c r="W17" s="766"/>
      <c r="X17" s="766"/>
      <c r="Y17" s="766"/>
      <c r="Z17" s="766"/>
      <c r="AA17" s="766"/>
      <c r="AB17" s="766"/>
      <c r="AC17" s="766"/>
      <c r="AD17" s="766"/>
      <c r="AE17" s="766"/>
      <c r="AF17" s="766"/>
      <c r="AG17" s="766"/>
      <c r="AH17" s="766"/>
      <c r="AI17" s="766"/>
      <c r="AJ17" s="766"/>
      <c r="AK17" s="766"/>
      <c r="AL17" s="766"/>
      <c r="AM17" s="766"/>
      <c r="AN17" s="766"/>
      <c r="AO17" s="766"/>
      <c r="AP17" s="766"/>
      <c r="AQ17" s="766"/>
      <c r="AR17" s="766"/>
      <c r="AS17" s="766"/>
      <c r="AT17" s="766"/>
      <c r="AU17" s="766">
        <v>100</v>
      </c>
      <c r="AV17" s="766">
        <v>100</v>
      </c>
      <c r="AW17" s="766">
        <v>100</v>
      </c>
      <c r="AX17" s="766">
        <v>100</v>
      </c>
      <c r="AY17" s="766">
        <v>100</v>
      </c>
      <c r="AZ17" s="766">
        <v>100</v>
      </c>
      <c r="BA17" s="766">
        <v>100</v>
      </c>
      <c r="BB17" s="766">
        <v>100</v>
      </c>
      <c r="BC17" s="766">
        <v>100</v>
      </c>
      <c r="BD17" s="766">
        <v>100</v>
      </c>
      <c r="BE17" s="766">
        <v>100</v>
      </c>
    </row>
    <row r="18" spans="1:57" ht="45.95" customHeight="1">
      <c r="A18" s="741" t="s">
        <v>463</v>
      </c>
      <c r="B18" s="745" t="s">
        <v>550</v>
      </c>
      <c r="C18" s="736">
        <v>167</v>
      </c>
      <c r="D18" s="731">
        <f>C18/$C$58</f>
        <v>2.3155851358846367E-2</v>
      </c>
      <c r="E18" s="744"/>
      <c r="F18" s="765"/>
      <c r="G18" s="765"/>
      <c r="H18" s="765"/>
      <c r="I18" s="765"/>
      <c r="J18" s="765"/>
      <c r="K18" s="765"/>
      <c r="L18" s="765"/>
      <c r="M18" s="765"/>
      <c r="N18" s="765"/>
      <c r="O18" s="765"/>
      <c r="P18" s="765"/>
      <c r="Q18" s="767">
        <v>14</v>
      </c>
      <c r="R18" s="767">
        <v>28</v>
      </c>
      <c r="S18" s="767">
        <v>42</v>
      </c>
      <c r="T18" s="767">
        <v>56</v>
      </c>
      <c r="U18" s="767">
        <v>70</v>
      </c>
      <c r="V18" s="767">
        <v>84</v>
      </c>
      <c r="W18" s="767">
        <v>100</v>
      </c>
      <c r="X18" s="766"/>
      <c r="Y18" s="766"/>
      <c r="Z18" s="766"/>
      <c r="AA18" s="766"/>
      <c r="AB18" s="766"/>
      <c r="AC18" s="766"/>
      <c r="AD18" s="766"/>
      <c r="AE18" s="766"/>
      <c r="AF18" s="766"/>
      <c r="AG18" s="766"/>
      <c r="AH18" s="766"/>
      <c r="AI18" s="766"/>
      <c r="AJ18" s="766"/>
      <c r="AK18" s="766"/>
      <c r="AL18" s="766"/>
      <c r="AM18" s="766"/>
      <c r="AN18" s="766"/>
      <c r="AO18" s="766"/>
      <c r="AP18" s="766"/>
      <c r="AQ18" s="766"/>
      <c r="AR18" s="766"/>
      <c r="AS18" s="766"/>
      <c r="AT18" s="766"/>
      <c r="AU18" s="766">
        <v>100</v>
      </c>
      <c r="AV18" s="766">
        <v>100</v>
      </c>
      <c r="AW18" s="766">
        <v>100</v>
      </c>
      <c r="AX18" s="766">
        <v>100</v>
      </c>
      <c r="AY18" s="766">
        <v>100</v>
      </c>
      <c r="AZ18" s="766">
        <v>100</v>
      </c>
      <c r="BA18" s="766">
        <v>100</v>
      </c>
      <c r="BB18" s="766">
        <v>100</v>
      </c>
      <c r="BC18" s="766">
        <v>100</v>
      </c>
      <c r="BD18" s="766">
        <v>100</v>
      </c>
      <c r="BE18" s="766">
        <v>100</v>
      </c>
    </row>
    <row r="19" spans="1:57" ht="45.95" customHeight="1">
      <c r="A19" s="741" t="s">
        <v>464</v>
      </c>
      <c r="B19" s="770" t="s">
        <v>551</v>
      </c>
      <c r="C19" s="736">
        <v>345</v>
      </c>
      <c r="D19" s="731">
        <f>C19/$C$58</f>
        <v>4.7836938435940099E-2</v>
      </c>
      <c r="E19" s="744"/>
      <c r="F19" s="765"/>
      <c r="G19" s="765"/>
      <c r="H19" s="765"/>
      <c r="I19" s="765"/>
      <c r="J19" s="765"/>
      <c r="K19" s="765"/>
      <c r="L19" s="765"/>
      <c r="M19" s="765"/>
      <c r="N19" s="765"/>
      <c r="O19" s="765"/>
      <c r="P19" s="765"/>
      <c r="Q19" s="765"/>
      <c r="R19" s="765"/>
      <c r="S19" s="765"/>
      <c r="T19" s="767">
        <v>13</v>
      </c>
      <c r="U19" s="767">
        <f t="shared" ref="U19:Z19" si="3">T19+13</f>
        <v>26</v>
      </c>
      <c r="V19" s="767">
        <f t="shared" si="3"/>
        <v>39</v>
      </c>
      <c r="W19" s="767">
        <f t="shared" si="3"/>
        <v>52</v>
      </c>
      <c r="X19" s="767">
        <f t="shared" si="3"/>
        <v>65</v>
      </c>
      <c r="Y19" s="767">
        <f t="shared" si="3"/>
        <v>78</v>
      </c>
      <c r="Z19" s="767">
        <f t="shared" si="3"/>
        <v>91</v>
      </c>
      <c r="AA19" s="767">
        <v>100</v>
      </c>
      <c r="AB19" s="766"/>
      <c r="AC19" s="766"/>
      <c r="AD19" s="766"/>
      <c r="AE19" s="766"/>
      <c r="AF19" s="766"/>
      <c r="AG19" s="766"/>
      <c r="AH19" s="766"/>
      <c r="AI19" s="766"/>
      <c r="AJ19" s="766"/>
      <c r="AK19" s="766"/>
      <c r="AL19" s="766"/>
      <c r="AM19" s="766"/>
      <c r="AN19" s="766"/>
      <c r="AO19" s="766"/>
      <c r="AP19" s="766"/>
      <c r="AQ19" s="766"/>
      <c r="AR19" s="766"/>
      <c r="AS19" s="766"/>
      <c r="AT19" s="766"/>
      <c r="AU19" s="766">
        <v>100</v>
      </c>
      <c r="AV19" s="766">
        <v>100</v>
      </c>
      <c r="AW19" s="766">
        <v>100</v>
      </c>
      <c r="AX19" s="766">
        <v>100</v>
      </c>
      <c r="AY19" s="766">
        <v>100</v>
      </c>
      <c r="AZ19" s="766">
        <v>100</v>
      </c>
      <c r="BA19" s="766">
        <v>100</v>
      </c>
      <c r="BB19" s="766">
        <v>100</v>
      </c>
      <c r="BC19" s="766">
        <v>100</v>
      </c>
      <c r="BD19" s="766">
        <v>100</v>
      </c>
      <c r="BE19" s="766">
        <v>100</v>
      </c>
    </row>
    <row r="20" spans="1:57" ht="45.95" customHeight="1">
      <c r="A20" s="741" t="s">
        <v>465</v>
      </c>
      <c r="B20" s="719" t="s">
        <v>552</v>
      </c>
      <c r="C20" s="736">
        <v>85</v>
      </c>
      <c r="D20" s="731">
        <f>C20/$C$58</f>
        <v>1.1785912368275097E-2</v>
      </c>
      <c r="E20" s="744"/>
      <c r="F20" s="765"/>
      <c r="G20" s="765"/>
      <c r="H20" s="765"/>
      <c r="I20" s="765"/>
      <c r="J20" s="765"/>
      <c r="K20" s="765"/>
      <c r="L20" s="765"/>
      <c r="M20" s="765"/>
      <c r="N20" s="765"/>
      <c r="O20" s="765"/>
      <c r="P20" s="771"/>
      <c r="Q20" s="771"/>
      <c r="R20" s="765"/>
      <c r="S20" s="765"/>
      <c r="T20" s="765"/>
      <c r="U20" s="765"/>
      <c r="V20" s="767">
        <v>20</v>
      </c>
      <c r="W20" s="767">
        <v>40</v>
      </c>
      <c r="X20" s="767">
        <v>60</v>
      </c>
      <c r="Y20" s="767">
        <v>80</v>
      </c>
      <c r="Z20" s="767">
        <v>100</v>
      </c>
      <c r="AA20" s="765"/>
      <c r="AB20" s="766"/>
      <c r="AC20" s="766"/>
      <c r="AD20" s="766"/>
      <c r="AE20" s="766"/>
      <c r="AF20" s="766"/>
      <c r="AG20" s="766"/>
      <c r="AH20" s="766"/>
      <c r="AI20" s="766"/>
      <c r="AJ20" s="766"/>
      <c r="AK20" s="766"/>
      <c r="AL20" s="766"/>
      <c r="AM20" s="766"/>
      <c r="AN20" s="766"/>
      <c r="AO20" s="766"/>
      <c r="AP20" s="766"/>
      <c r="AQ20" s="766"/>
      <c r="AR20" s="766"/>
      <c r="AS20" s="766"/>
      <c r="AT20" s="766"/>
      <c r="AU20" s="766">
        <v>100</v>
      </c>
      <c r="AV20" s="766">
        <v>100</v>
      </c>
      <c r="AW20" s="766">
        <v>100</v>
      </c>
      <c r="AX20" s="766">
        <v>100</v>
      </c>
      <c r="AY20" s="766">
        <v>100</v>
      </c>
      <c r="AZ20" s="766">
        <v>100</v>
      </c>
      <c r="BA20" s="766">
        <v>100</v>
      </c>
      <c r="BB20" s="766">
        <v>100</v>
      </c>
      <c r="BC20" s="766">
        <v>100</v>
      </c>
      <c r="BD20" s="766">
        <v>100</v>
      </c>
      <c r="BE20" s="766">
        <v>100</v>
      </c>
    </row>
    <row r="21" spans="1:57" ht="45.95" customHeight="1">
      <c r="A21" s="741"/>
      <c r="B21" s="772" t="s">
        <v>459</v>
      </c>
      <c r="C21" s="736"/>
      <c r="D21" s="736"/>
      <c r="E21" s="736"/>
      <c r="F21" s="765"/>
      <c r="G21" s="765"/>
      <c r="H21" s="765"/>
      <c r="I21" s="765"/>
      <c r="J21" s="765"/>
      <c r="K21" s="765"/>
      <c r="L21" s="765"/>
      <c r="M21" s="765"/>
      <c r="N21" s="765"/>
      <c r="O21" s="765"/>
      <c r="P21" s="765"/>
      <c r="Q21" s="765"/>
      <c r="R21" s="765"/>
      <c r="S21" s="765"/>
      <c r="T21" s="765"/>
      <c r="U21" s="765"/>
      <c r="V21" s="765"/>
      <c r="W21" s="765"/>
      <c r="X21" s="765"/>
      <c r="Y21" s="765"/>
      <c r="Z21" s="765"/>
      <c r="AA21" s="765"/>
      <c r="AB21" s="765"/>
      <c r="AC21" s="765"/>
      <c r="AD21" s="765"/>
      <c r="AE21" s="765"/>
      <c r="AF21" s="765"/>
      <c r="AG21" s="765"/>
      <c r="AH21" s="765"/>
      <c r="AI21" s="765"/>
      <c r="AJ21" s="765"/>
      <c r="AK21" s="765"/>
      <c r="AL21" s="765"/>
      <c r="AM21" s="765"/>
      <c r="AN21" s="765"/>
      <c r="AO21" s="765"/>
      <c r="AP21" s="765"/>
      <c r="AQ21" s="765"/>
      <c r="AR21" s="765"/>
      <c r="AS21" s="765"/>
      <c r="AT21" s="765"/>
      <c r="AU21" s="766"/>
      <c r="AV21" s="766"/>
      <c r="AW21" s="766"/>
      <c r="AX21" s="766"/>
      <c r="AY21" s="766"/>
      <c r="AZ21" s="766"/>
      <c r="BA21" s="766"/>
      <c r="BB21" s="766"/>
      <c r="BC21" s="766"/>
      <c r="BD21" s="766"/>
      <c r="BE21" s="766"/>
    </row>
    <row r="22" spans="1:57" ht="45.95" customHeight="1">
      <c r="A22" s="741" t="s">
        <v>466</v>
      </c>
      <c r="B22" s="719" t="s">
        <v>553</v>
      </c>
      <c r="C22" s="736">
        <v>82</v>
      </c>
      <c r="D22" s="731">
        <f>C22/$C$58</f>
        <v>1.136993899057127E-2</v>
      </c>
      <c r="E22" s="744"/>
      <c r="F22" s="765"/>
      <c r="G22" s="765"/>
      <c r="H22" s="765"/>
      <c r="I22" s="765"/>
      <c r="J22" s="765"/>
      <c r="K22" s="765"/>
      <c r="L22" s="765"/>
      <c r="M22" s="765"/>
      <c r="N22" s="765"/>
      <c r="O22" s="765"/>
      <c r="P22" s="765"/>
      <c r="Q22" s="765"/>
      <c r="R22" s="765"/>
      <c r="S22" s="765"/>
      <c r="T22" s="765"/>
      <c r="U22" s="765"/>
      <c r="V22" s="765"/>
      <c r="W22" s="767">
        <v>50</v>
      </c>
      <c r="X22" s="767">
        <v>100</v>
      </c>
      <c r="Y22" s="766"/>
      <c r="Z22" s="766"/>
      <c r="AA22" s="766"/>
      <c r="AB22" s="766"/>
      <c r="AC22" s="766"/>
      <c r="AD22" s="766"/>
      <c r="AE22" s="766"/>
      <c r="AF22" s="766"/>
      <c r="AG22" s="766"/>
      <c r="AH22" s="766"/>
      <c r="AI22" s="766"/>
      <c r="AJ22" s="766"/>
      <c r="AK22" s="766"/>
      <c r="AL22" s="766"/>
      <c r="AM22" s="766"/>
      <c r="AN22" s="766"/>
      <c r="AO22" s="766"/>
      <c r="AP22" s="766"/>
      <c r="AQ22" s="766"/>
      <c r="AR22" s="766"/>
      <c r="AS22" s="766"/>
      <c r="AT22" s="766"/>
      <c r="AU22" s="766">
        <v>100</v>
      </c>
      <c r="AV22" s="766">
        <v>100</v>
      </c>
      <c r="AW22" s="766">
        <v>100</v>
      </c>
      <c r="AX22" s="766">
        <v>100</v>
      </c>
      <c r="AY22" s="766">
        <v>100</v>
      </c>
      <c r="AZ22" s="766">
        <v>100</v>
      </c>
      <c r="BA22" s="766">
        <v>100</v>
      </c>
      <c r="BB22" s="766">
        <v>100</v>
      </c>
      <c r="BC22" s="766">
        <v>100</v>
      </c>
      <c r="BD22" s="766">
        <v>100</v>
      </c>
      <c r="BE22" s="766">
        <v>100</v>
      </c>
    </row>
    <row r="23" spans="1:57" ht="45.95" customHeight="1">
      <c r="A23" s="741" t="s">
        <v>467</v>
      </c>
      <c r="B23" s="745" t="s">
        <v>554</v>
      </c>
      <c r="C23" s="736">
        <v>275</v>
      </c>
      <c r="D23" s="731">
        <f>C23/$C$58</f>
        <v>3.8130892956184138E-2</v>
      </c>
      <c r="E23" s="744"/>
      <c r="F23" s="765"/>
      <c r="G23" s="765"/>
      <c r="H23" s="765"/>
      <c r="I23" s="765"/>
      <c r="J23" s="765"/>
      <c r="K23" s="765"/>
      <c r="L23" s="765"/>
      <c r="M23" s="765"/>
      <c r="N23" s="765"/>
      <c r="O23" s="765"/>
      <c r="P23" s="765"/>
      <c r="Q23" s="765"/>
      <c r="R23" s="765"/>
      <c r="S23" s="765"/>
      <c r="T23" s="765"/>
      <c r="U23" s="765"/>
      <c r="V23" s="765"/>
      <c r="W23" s="765"/>
      <c r="X23" s="767">
        <v>16.666666666666668</v>
      </c>
      <c r="Y23" s="767">
        <v>33.666666666666671</v>
      </c>
      <c r="Z23" s="767">
        <v>50.666666666666671</v>
      </c>
      <c r="AA23" s="767">
        <v>67.666666666666671</v>
      </c>
      <c r="AB23" s="767">
        <v>84.666666666666671</v>
      </c>
      <c r="AC23" s="767">
        <v>100</v>
      </c>
      <c r="AD23" s="766"/>
      <c r="AE23" s="766"/>
      <c r="AF23" s="766"/>
      <c r="AG23" s="766"/>
      <c r="AH23" s="766"/>
      <c r="AI23" s="766"/>
      <c r="AJ23" s="766"/>
      <c r="AK23" s="766"/>
      <c r="AL23" s="766"/>
      <c r="AM23" s="766"/>
      <c r="AN23" s="766"/>
      <c r="AO23" s="766"/>
      <c r="AP23" s="766"/>
      <c r="AQ23" s="766"/>
      <c r="AR23" s="766"/>
      <c r="AS23" s="766"/>
      <c r="AT23" s="766"/>
      <c r="AU23" s="766">
        <v>100</v>
      </c>
      <c r="AV23" s="766">
        <v>100</v>
      </c>
      <c r="AW23" s="766">
        <v>100</v>
      </c>
      <c r="AX23" s="766">
        <v>100</v>
      </c>
      <c r="AY23" s="766">
        <v>100</v>
      </c>
      <c r="AZ23" s="766">
        <v>100</v>
      </c>
      <c r="BA23" s="766">
        <v>100</v>
      </c>
      <c r="BB23" s="766">
        <v>100</v>
      </c>
      <c r="BC23" s="766">
        <v>100</v>
      </c>
      <c r="BD23" s="766">
        <v>100</v>
      </c>
      <c r="BE23" s="766">
        <v>100</v>
      </c>
    </row>
    <row r="24" spans="1:57" ht="45.95" customHeight="1">
      <c r="A24" s="741" t="s">
        <v>468</v>
      </c>
      <c r="B24" s="745" t="s">
        <v>555</v>
      </c>
      <c r="C24" s="736">
        <v>247</v>
      </c>
      <c r="D24" s="731">
        <f>C24/$C$58</f>
        <v>3.424847476428175E-2</v>
      </c>
      <c r="E24" s="744"/>
      <c r="F24" s="765"/>
      <c r="G24" s="765"/>
      <c r="H24" s="765"/>
      <c r="I24" s="765"/>
      <c r="J24" s="765"/>
      <c r="K24" s="765"/>
      <c r="L24" s="765"/>
      <c r="M24" s="765"/>
      <c r="N24" s="765"/>
      <c r="O24" s="765"/>
      <c r="P24" s="765"/>
      <c r="Q24" s="765"/>
      <c r="R24" s="765"/>
      <c r="S24" s="765"/>
      <c r="T24" s="765"/>
      <c r="U24" s="765"/>
      <c r="V24" s="765"/>
      <c r="W24" s="765"/>
      <c r="X24" s="765"/>
      <c r="Y24" s="765"/>
      <c r="Z24" s="765"/>
      <c r="AA24" s="767">
        <v>20</v>
      </c>
      <c r="AB24" s="767">
        <v>40</v>
      </c>
      <c r="AC24" s="767">
        <v>60</v>
      </c>
      <c r="AD24" s="767">
        <v>80</v>
      </c>
      <c r="AE24" s="767">
        <v>100</v>
      </c>
      <c r="AF24" s="766"/>
      <c r="AG24" s="766"/>
      <c r="AH24" s="766"/>
      <c r="AI24" s="766"/>
      <c r="AJ24" s="766"/>
      <c r="AK24" s="766"/>
      <c r="AL24" s="766"/>
      <c r="AM24" s="766"/>
      <c r="AN24" s="766"/>
      <c r="AO24" s="766"/>
      <c r="AP24" s="766"/>
      <c r="AQ24" s="766"/>
      <c r="AR24" s="766"/>
      <c r="AS24" s="766"/>
      <c r="AT24" s="766"/>
      <c r="AU24" s="766">
        <v>100</v>
      </c>
      <c r="AV24" s="766">
        <v>100</v>
      </c>
      <c r="AW24" s="766">
        <v>100</v>
      </c>
      <c r="AX24" s="766">
        <v>100</v>
      </c>
      <c r="AY24" s="766">
        <v>100</v>
      </c>
      <c r="AZ24" s="766">
        <v>100</v>
      </c>
      <c r="BA24" s="766">
        <v>100</v>
      </c>
      <c r="BB24" s="766">
        <v>100</v>
      </c>
      <c r="BC24" s="766">
        <v>100</v>
      </c>
      <c r="BD24" s="766">
        <v>100</v>
      </c>
      <c r="BE24" s="766">
        <v>100</v>
      </c>
    </row>
    <row r="25" spans="1:57" ht="45.95" customHeight="1">
      <c r="A25" s="741" t="s">
        <v>469</v>
      </c>
      <c r="B25" s="743" t="s">
        <v>556</v>
      </c>
      <c r="C25" s="736">
        <v>97</v>
      </c>
      <c r="D25" s="731">
        <f>C25/$C$58</f>
        <v>1.3449805879090405E-2</v>
      </c>
      <c r="E25" s="744"/>
      <c r="F25" s="765"/>
      <c r="G25" s="765"/>
      <c r="H25" s="765"/>
      <c r="I25" s="765"/>
      <c r="J25" s="765"/>
      <c r="K25" s="765"/>
      <c r="L25" s="765"/>
      <c r="M25" s="765"/>
      <c r="N25" s="765"/>
      <c r="O25" s="765"/>
      <c r="P25" s="765"/>
      <c r="Q25" s="765"/>
      <c r="R25" s="765"/>
      <c r="S25" s="765"/>
      <c r="T25" s="765"/>
      <c r="U25" s="765"/>
      <c r="V25" s="765"/>
      <c r="W25" s="765"/>
      <c r="X25" s="765"/>
      <c r="Y25" s="765"/>
      <c r="Z25" s="765"/>
      <c r="AA25" s="771"/>
      <c r="AB25" s="767">
        <v>20</v>
      </c>
      <c r="AC25" s="767">
        <v>40</v>
      </c>
      <c r="AD25" s="767">
        <v>60</v>
      </c>
      <c r="AE25" s="767">
        <v>80</v>
      </c>
      <c r="AF25" s="767">
        <v>100</v>
      </c>
      <c r="AG25" s="766"/>
      <c r="AH25" s="766"/>
      <c r="AI25" s="766"/>
      <c r="AJ25" s="766"/>
      <c r="AK25" s="766"/>
      <c r="AL25" s="766"/>
      <c r="AM25" s="766"/>
      <c r="AN25" s="766"/>
      <c r="AO25" s="766"/>
      <c r="AP25" s="766"/>
      <c r="AQ25" s="766"/>
      <c r="AR25" s="766"/>
      <c r="AS25" s="766"/>
      <c r="AT25" s="766"/>
      <c r="AU25" s="766">
        <v>100</v>
      </c>
      <c r="AV25" s="766">
        <v>100</v>
      </c>
      <c r="AW25" s="766">
        <v>100</v>
      </c>
      <c r="AX25" s="766">
        <v>100</v>
      </c>
      <c r="AY25" s="766">
        <v>100</v>
      </c>
      <c r="AZ25" s="766">
        <v>100</v>
      </c>
      <c r="BA25" s="766">
        <v>100</v>
      </c>
      <c r="BB25" s="766">
        <v>100</v>
      </c>
      <c r="BC25" s="766">
        <v>100</v>
      </c>
      <c r="BD25" s="766">
        <v>100</v>
      </c>
      <c r="BE25" s="766">
        <v>100</v>
      </c>
    </row>
    <row r="26" spans="1:57" ht="45.95" customHeight="1">
      <c r="A26" s="741" t="s">
        <v>470</v>
      </c>
      <c r="B26" s="745" t="s">
        <v>557</v>
      </c>
      <c r="C26" s="736">
        <v>290</v>
      </c>
      <c r="D26" s="731">
        <f>C26/$C$58</f>
        <v>4.0210759844703271E-2</v>
      </c>
      <c r="E26" s="744"/>
      <c r="F26" s="765"/>
      <c r="G26" s="765"/>
      <c r="H26" s="765"/>
      <c r="I26" s="765"/>
      <c r="J26" s="765"/>
      <c r="K26" s="765"/>
      <c r="L26" s="765"/>
      <c r="M26" s="765"/>
      <c r="N26" s="765"/>
      <c r="O26" s="765"/>
      <c r="P26" s="765"/>
      <c r="Q26" s="765"/>
      <c r="R26" s="765"/>
      <c r="S26" s="765"/>
      <c r="T26" s="765"/>
      <c r="U26" s="765"/>
      <c r="V26" s="765"/>
      <c r="W26" s="765"/>
      <c r="X26" s="765"/>
      <c r="Y26" s="765"/>
      <c r="Z26" s="765"/>
      <c r="AA26" s="765"/>
      <c r="AB26" s="767">
        <v>14</v>
      </c>
      <c r="AC26" s="767">
        <v>28</v>
      </c>
      <c r="AD26" s="767">
        <v>42</v>
      </c>
      <c r="AE26" s="767">
        <v>56</v>
      </c>
      <c r="AF26" s="767">
        <v>70</v>
      </c>
      <c r="AG26" s="767">
        <v>84</v>
      </c>
      <c r="AH26" s="767">
        <v>100</v>
      </c>
      <c r="AI26" s="766"/>
      <c r="AJ26" s="766"/>
      <c r="AK26" s="766"/>
      <c r="AL26" s="766"/>
      <c r="AM26" s="766"/>
      <c r="AN26" s="766"/>
      <c r="AO26" s="766"/>
      <c r="AP26" s="766"/>
      <c r="AQ26" s="766"/>
      <c r="AR26" s="766"/>
      <c r="AS26" s="766"/>
      <c r="AT26" s="766"/>
      <c r="AU26" s="766">
        <v>100</v>
      </c>
      <c r="AV26" s="766">
        <v>100</v>
      </c>
      <c r="AW26" s="766">
        <v>100</v>
      </c>
      <c r="AX26" s="766">
        <v>100</v>
      </c>
      <c r="AY26" s="766">
        <v>100</v>
      </c>
      <c r="AZ26" s="766">
        <v>100</v>
      </c>
      <c r="BA26" s="766">
        <v>100</v>
      </c>
      <c r="BB26" s="766">
        <v>100</v>
      </c>
      <c r="BC26" s="766">
        <v>100</v>
      </c>
      <c r="BD26" s="766">
        <v>100</v>
      </c>
      <c r="BE26" s="766">
        <v>100</v>
      </c>
    </row>
    <row r="27" spans="1:57" ht="45.95" customHeight="1">
      <c r="A27" s="741"/>
      <c r="B27" s="773" t="s">
        <v>558</v>
      </c>
      <c r="C27" s="736"/>
      <c r="D27" s="731"/>
      <c r="E27" s="774"/>
      <c r="F27" s="765"/>
      <c r="G27" s="765"/>
      <c r="H27" s="765"/>
      <c r="I27" s="765"/>
      <c r="J27" s="765"/>
      <c r="K27" s="765"/>
      <c r="L27" s="765"/>
      <c r="M27" s="765"/>
      <c r="N27" s="765"/>
      <c r="O27" s="765"/>
      <c r="P27" s="765"/>
      <c r="Q27" s="765"/>
      <c r="R27" s="765"/>
      <c r="S27" s="765"/>
      <c r="T27" s="765"/>
      <c r="U27" s="765"/>
      <c r="V27" s="765"/>
      <c r="W27" s="765"/>
      <c r="X27" s="765"/>
      <c r="Y27" s="765"/>
      <c r="Z27" s="765"/>
      <c r="AA27" s="765"/>
      <c r="AB27" s="765"/>
      <c r="AC27" s="765"/>
      <c r="AD27" s="765"/>
      <c r="AE27" s="765"/>
      <c r="AF27" s="765"/>
      <c r="AG27" s="765"/>
      <c r="AH27" s="765"/>
      <c r="AI27" s="765"/>
      <c r="AJ27" s="765"/>
      <c r="AK27" s="765"/>
      <c r="AL27" s="765"/>
      <c r="AM27" s="765"/>
      <c r="AN27" s="765"/>
      <c r="AO27" s="765"/>
      <c r="AP27" s="765"/>
      <c r="AQ27" s="765"/>
      <c r="AR27" s="765"/>
      <c r="AS27" s="765"/>
      <c r="AT27" s="765"/>
      <c r="AU27" s="766"/>
      <c r="AV27" s="766"/>
      <c r="AW27" s="766"/>
      <c r="AX27" s="766"/>
      <c r="AY27" s="766"/>
      <c r="AZ27" s="766"/>
      <c r="BA27" s="766"/>
      <c r="BB27" s="766"/>
      <c r="BC27" s="766"/>
      <c r="BD27" s="766"/>
      <c r="BE27" s="766"/>
    </row>
    <row r="28" spans="1:57" ht="45.95" customHeight="1">
      <c r="A28" s="741" t="s">
        <v>97</v>
      </c>
      <c r="B28" s="745" t="s">
        <v>559</v>
      </c>
      <c r="C28" s="736">
        <v>638</v>
      </c>
      <c r="D28" s="731">
        <f>C28/$C$58</f>
        <v>8.8463671658347204E-2</v>
      </c>
      <c r="E28" s="744"/>
      <c r="F28" s="765"/>
      <c r="G28" s="765"/>
      <c r="H28" s="765"/>
      <c r="I28" s="765"/>
      <c r="J28" s="765"/>
      <c r="K28" s="765"/>
      <c r="L28" s="765"/>
      <c r="M28" s="765"/>
      <c r="N28" s="765"/>
      <c r="O28" s="765"/>
      <c r="P28" s="765"/>
      <c r="Q28" s="765"/>
      <c r="R28" s="765"/>
      <c r="S28" s="765"/>
      <c r="T28" s="765"/>
      <c r="U28" s="765"/>
      <c r="V28" s="765"/>
      <c r="W28" s="765"/>
      <c r="X28" s="765"/>
      <c r="Y28" s="765"/>
      <c r="Z28" s="765"/>
      <c r="AA28" s="765"/>
      <c r="AB28" s="765"/>
      <c r="AC28" s="765"/>
      <c r="AD28" s="765"/>
      <c r="AE28" s="765"/>
      <c r="AF28" s="765"/>
      <c r="AG28" s="767">
        <v>7</v>
      </c>
      <c r="AH28" s="767">
        <f t="shared" ref="AH28:AS28" si="4">7+AG28</f>
        <v>14</v>
      </c>
      <c r="AI28" s="767">
        <f t="shared" si="4"/>
        <v>21</v>
      </c>
      <c r="AJ28" s="767">
        <f t="shared" si="4"/>
        <v>28</v>
      </c>
      <c r="AK28" s="767">
        <f t="shared" si="4"/>
        <v>35</v>
      </c>
      <c r="AL28" s="767">
        <f t="shared" si="4"/>
        <v>42</v>
      </c>
      <c r="AM28" s="767">
        <f t="shared" si="4"/>
        <v>49</v>
      </c>
      <c r="AN28" s="767">
        <f t="shared" si="4"/>
        <v>56</v>
      </c>
      <c r="AO28" s="767">
        <f t="shared" si="4"/>
        <v>63</v>
      </c>
      <c r="AP28" s="767">
        <f t="shared" si="4"/>
        <v>70</v>
      </c>
      <c r="AQ28" s="767">
        <f t="shared" si="4"/>
        <v>77</v>
      </c>
      <c r="AR28" s="767">
        <f t="shared" si="4"/>
        <v>84</v>
      </c>
      <c r="AS28" s="767">
        <f t="shared" si="4"/>
        <v>91</v>
      </c>
      <c r="AT28" s="767">
        <v>100</v>
      </c>
      <c r="AU28" s="766">
        <v>100</v>
      </c>
      <c r="AV28" s="766">
        <v>100</v>
      </c>
      <c r="AW28" s="766">
        <v>100</v>
      </c>
      <c r="AX28" s="766">
        <v>100</v>
      </c>
      <c r="AY28" s="766">
        <v>100</v>
      </c>
      <c r="AZ28" s="766">
        <v>100</v>
      </c>
      <c r="BA28" s="766">
        <v>100</v>
      </c>
      <c r="BB28" s="766">
        <v>100</v>
      </c>
      <c r="BC28" s="766">
        <v>100</v>
      </c>
      <c r="BD28" s="766">
        <v>100</v>
      </c>
      <c r="BE28" s="766">
        <v>100</v>
      </c>
    </row>
    <row r="29" spans="1:57" ht="45.95" customHeight="1">
      <c r="A29" s="741" t="s">
        <v>99</v>
      </c>
      <c r="B29" s="745" t="s">
        <v>560</v>
      </c>
      <c r="C29" s="736">
        <v>690</v>
      </c>
      <c r="D29" s="731">
        <f>C29/$C$58</f>
        <v>9.5673876871880198E-2</v>
      </c>
      <c r="E29" s="744"/>
      <c r="F29" s="765"/>
      <c r="G29" s="765"/>
      <c r="H29" s="765"/>
      <c r="I29" s="765"/>
      <c r="J29" s="765"/>
      <c r="K29" s="765"/>
      <c r="L29" s="765"/>
      <c r="M29" s="765"/>
      <c r="N29" s="765"/>
      <c r="O29" s="765"/>
      <c r="P29" s="765"/>
      <c r="Q29" s="765"/>
      <c r="R29" s="765"/>
      <c r="S29" s="765"/>
      <c r="T29" s="765"/>
      <c r="U29" s="765"/>
      <c r="V29" s="765"/>
      <c r="W29" s="765"/>
      <c r="X29" s="765"/>
      <c r="Y29" s="765"/>
      <c r="Z29" s="767">
        <v>5</v>
      </c>
      <c r="AA29" s="767">
        <f t="shared" ref="AA29:AR29" si="5">Z29+5</f>
        <v>10</v>
      </c>
      <c r="AB29" s="767">
        <f t="shared" si="5"/>
        <v>15</v>
      </c>
      <c r="AC29" s="767">
        <f t="shared" si="5"/>
        <v>20</v>
      </c>
      <c r="AD29" s="767">
        <f t="shared" si="5"/>
        <v>25</v>
      </c>
      <c r="AE29" s="767">
        <f t="shared" si="5"/>
        <v>30</v>
      </c>
      <c r="AF29" s="767">
        <f t="shared" si="5"/>
        <v>35</v>
      </c>
      <c r="AG29" s="767">
        <f t="shared" si="5"/>
        <v>40</v>
      </c>
      <c r="AH29" s="767">
        <f t="shared" si="5"/>
        <v>45</v>
      </c>
      <c r="AI29" s="767">
        <f t="shared" si="5"/>
        <v>50</v>
      </c>
      <c r="AJ29" s="767">
        <f t="shared" si="5"/>
        <v>55</v>
      </c>
      <c r="AK29" s="767">
        <f t="shared" si="5"/>
        <v>60</v>
      </c>
      <c r="AL29" s="767">
        <f t="shared" si="5"/>
        <v>65</v>
      </c>
      <c r="AM29" s="767">
        <f t="shared" si="5"/>
        <v>70</v>
      </c>
      <c r="AN29" s="767">
        <f t="shared" si="5"/>
        <v>75</v>
      </c>
      <c r="AO29" s="767">
        <f t="shared" si="5"/>
        <v>80</v>
      </c>
      <c r="AP29" s="767">
        <f t="shared" si="5"/>
        <v>85</v>
      </c>
      <c r="AQ29" s="767">
        <f t="shared" si="5"/>
        <v>90</v>
      </c>
      <c r="AR29" s="767">
        <f t="shared" si="5"/>
        <v>95</v>
      </c>
      <c r="AS29" s="767">
        <v>97</v>
      </c>
      <c r="AT29" s="767">
        <v>100</v>
      </c>
      <c r="AU29" s="766">
        <v>100</v>
      </c>
      <c r="AV29" s="766">
        <v>100</v>
      </c>
      <c r="AW29" s="766">
        <v>100</v>
      </c>
      <c r="AX29" s="766">
        <v>100</v>
      </c>
      <c r="AY29" s="766">
        <v>100</v>
      </c>
      <c r="AZ29" s="766">
        <v>100</v>
      </c>
      <c r="BA29" s="766">
        <v>100</v>
      </c>
      <c r="BB29" s="766">
        <v>100</v>
      </c>
      <c r="BC29" s="766">
        <v>100</v>
      </c>
      <c r="BD29" s="766">
        <v>100</v>
      </c>
      <c r="BE29" s="766">
        <v>100</v>
      </c>
    </row>
    <row r="30" spans="1:57" ht="45.95" customHeight="1">
      <c r="A30" s="741"/>
      <c r="B30" s="773" t="s">
        <v>514</v>
      </c>
      <c r="C30" s="736"/>
      <c r="D30" s="736"/>
      <c r="E30" s="736"/>
      <c r="F30" s="765"/>
      <c r="G30" s="765"/>
      <c r="H30" s="765"/>
      <c r="I30" s="765"/>
      <c r="J30" s="765"/>
      <c r="K30" s="765"/>
      <c r="L30" s="765"/>
      <c r="M30" s="765"/>
      <c r="N30" s="765"/>
      <c r="O30" s="765"/>
      <c r="P30" s="765"/>
      <c r="Q30" s="765"/>
      <c r="R30" s="765"/>
      <c r="S30" s="765"/>
      <c r="T30" s="765"/>
      <c r="U30" s="765"/>
      <c r="V30" s="765"/>
      <c r="W30" s="765"/>
      <c r="X30" s="765"/>
      <c r="Y30" s="765"/>
      <c r="Z30" s="765"/>
      <c r="AA30" s="765"/>
      <c r="AB30" s="765"/>
      <c r="AC30" s="765"/>
      <c r="AD30" s="765"/>
      <c r="AE30" s="765"/>
      <c r="AF30" s="765"/>
      <c r="AG30" s="765"/>
      <c r="AH30" s="765"/>
      <c r="AI30" s="765"/>
      <c r="AJ30" s="765"/>
      <c r="AK30" s="765"/>
      <c r="AL30" s="765"/>
      <c r="AM30" s="765"/>
      <c r="AN30" s="765"/>
      <c r="AO30" s="765"/>
      <c r="AP30" s="765"/>
      <c r="AQ30" s="765"/>
      <c r="AR30" s="765"/>
      <c r="AS30" s="765"/>
      <c r="AT30" s="765"/>
      <c r="AU30" s="766"/>
      <c r="AV30" s="766"/>
      <c r="AW30" s="766"/>
      <c r="AX30" s="766"/>
      <c r="AY30" s="766"/>
      <c r="AZ30" s="766"/>
      <c r="BA30" s="766"/>
      <c r="BB30" s="766"/>
      <c r="BC30" s="766"/>
      <c r="BD30" s="766"/>
      <c r="BE30" s="766"/>
    </row>
    <row r="31" spans="1:57" ht="45.95" customHeight="1">
      <c r="A31" s="741" t="s">
        <v>471</v>
      </c>
      <c r="B31" s="770" t="s">
        <v>561</v>
      </c>
      <c r="C31" s="736">
        <v>170</v>
      </c>
      <c r="D31" s="731">
        <f t="shared" ref="D31:D39" si="6">C31/$C$58</f>
        <v>2.3571824736550194E-2</v>
      </c>
      <c r="E31" s="744"/>
      <c r="F31" s="765"/>
      <c r="G31" s="765"/>
      <c r="H31" s="765"/>
      <c r="I31" s="765"/>
      <c r="J31" s="765"/>
      <c r="K31" s="765"/>
      <c r="L31" s="765"/>
      <c r="M31" s="765"/>
      <c r="N31" s="765"/>
      <c r="O31" s="765"/>
      <c r="P31" s="765"/>
      <c r="Q31" s="765"/>
      <c r="R31" s="765"/>
      <c r="S31" s="765"/>
      <c r="T31" s="765"/>
      <c r="U31" s="765"/>
      <c r="V31" s="765"/>
      <c r="W31" s="765"/>
      <c r="X31" s="765"/>
      <c r="Y31" s="765"/>
      <c r="Z31" s="765"/>
      <c r="AA31" s="765"/>
      <c r="AB31" s="767">
        <v>25</v>
      </c>
      <c r="AC31" s="767">
        <v>50</v>
      </c>
      <c r="AD31" s="767">
        <v>75</v>
      </c>
      <c r="AE31" s="767">
        <v>100</v>
      </c>
      <c r="AF31" s="766"/>
      <c r="AG31" s="766"/>
      <c r="AH31" s="766"/>
      <c r="AI31" s="766"/>
      <c r="AJ31" s="766"/>
      <c r="AK31" s="766"/>
      <c r="AL31" s="766"/>
      <c r="AM31" s="766"/>
      <c r="AN31" s="766"/>
      <c r="AO31" s="766"/>
      <c r="AP31" s="766"/>
      <c r="AQ31" s="766"/>
      <c r="AR31" s="766"/>
      <c r="AS31" s="766"/>
      <c r="AT31" s="766"/>
      <c r="AU31" s="766">
        <v>100</v>
      </c>
      <c r="AV31" s="766">
        <v>100</v>
      </c>
      <c r="AW31" s="766">
        <v>100</v>
      </c>
      <c r="AX31" s="766">
        <v>100</v>
      </c>
      <c r="AY31" s="766">
        <v>100</v>
      </c>
      <c r="AZ31" s="766">
        <v>100</v>
      </c>
      <c r="BA31" s="766">
        <v>100</v>
      </c>
      <c r="BB31" s="766">
        <v>100</v>
      </c>
      <c r="BC31" s="766">
        <v>100</v>
      </c>
      <c r="BD31" s="766">
        <v>100</v>
      </c>
      <c r="BE31" s="766">
        <v>100</v>
      </c>
    </row>
    <row r="32" spans="1:57" ht="45.95" customHeight="1">
      <c r="A32" s="741" t="s">
        <v>472</v>
      </c>
      <c r="B32" s="770" t="s">
        <v>562</v>
      </c>
      <c r="C32" s="736">
        <v>132</v>
      </c>
      <c r="D32" s="731">
        <f t="shared" si="6"/>
        <v>1.8302828618968387E-2</v>
      </c>
      <c r="E32" s="744"/>
      <c r="F32" s="765"/>
      <c r="G32" s="765"/>
      <c r="H32" s="765"/>
      <c r="I32" s="765"/>
      <c r="J32" s="765"/>
      <c r="K32" s="765"/>
      <c r="L32" s="765"/>
      <c r="M32" s="765"/>
      <c r="N32" s="765"/>
      <c r="O32" s="765"/>
      <c r="P32" s="765"/>
      <c r="Q32" s="765"/>
      <c r="R32" s="765"/>
      <c r="S32" s="765"/>
      <c r="T32" s="765"/>
      <c r="U32" s="765"/>
      <c r="V32" s="765"/>
      <c r="W32" s="765"/>
      <c r="X32" s="765"/>
      <c r="Y32" s="765"/>
      <c r="Z32" s="765"/>
      <c r="AA32" s="765"/>
      <c r="AB32" s="765"/>
      <c r="AC32" s="767">
        <v>25</v>
      </c>
      <c r="AD32" s="767">
        <v>50</v>
      </c>
      <c r="AE32" s="767">
        <v>75</v>
      </c>
      <c r="AF32" s="767">
        <v>100</v>
      </c>
      <c r="AG32" s="766"/>
      <c r="AH32" s="766"/>
      <c r="AI32" s="766"/>
      <c r="AJ32" s="766"/>
      <c r="AK32" s="766"/>
      <c r="AL32" s="766"/>
      <c r="AM32" s="766"/>
      <c r="AN32" s="766"/>
      <c r="AO32" s="766"/>
      <c r="AP32" s="766"/>
      <c r="AQ32" s="766"/>
      <c r="AR32" s="766"/>
      <c r="AS32" s="766"/>
      <c r="AT32" s="766"/>
      <c r="AU32" s="766">
        <v>100</v>
      </c>
      <c r="AV32" s="766">
        <v>100</v>
      </c>
      <c r="AW32" s="766">
        <v>100</v>
      </c>
      <c r="AX32" s="766">
        <v>100</v>
      </c>
      <c r="AY32" s="766">
        <v>100</v>
      </c>
      <c r="AZ32" s="766">
        <v>100</v>
      </c>
      <c r="BA32" s="766">
        <v>100</v>
      </c>
      <c r="BB32" s="766">
        <v>100</v>
      </c>
      <c r="BC32" s="766">
        <v>100</v>
      </c>
      <c r="BD32" s="766">
        <v>100</v>
      </c>
      <c r="BE32" s="766">
        <v>100</v>
      </c>
    </row>
    <row r="33" spans="1:57" ht="45.95" customHeight="1">
      <c r="A33" s="741" t="s">
        <v>473</v>
      </c>
      <c r="B33" s="745" t="s">
        <v>563</v>
      </c>
      <c r="C33" s="736">
        <v>234</v>
      </c>
      <c r="D33" s="731">
        <f t="shared" si="6"/>
        <v>3.2445923460898501E-2</v>
      </c>
      <c r="E33" s="744"/>
      <c r="F33" s="765"/>
      <c r="G33" s="765"/>
      <c r="H33" s="765"/>
      <c r="I33" s="765"/>
      <c r="J33" s="765"/>
      <c r="K33" s="765"/>
      <c r="L33" s="765"/>
      <c r="M33" s="765"/>
      <c r="N33" s="765"/>
      <c r="O33" s="765"/>
      <c r="P33" s="765"/>
      <c r="Q33" s="765"/>
      <c r="R33" s="765"/>
      <c r="S33" s="765"/>
      <c r="T33" s="765"/>
      <c r="U33" s="765"/>
      <c r="V33" s="765"/>
      <c r="W33" s="765"/>
      <c r="X33" s="765"/>
      <c r="Y33" s="765"/>
      <c r="Z33" s="765"/>
      <c r="AA33" s="765"/>
      <c r="AB33" s="765"/>
      <c r="AC33" s="765"/>
      <c r="AD33" s="767">
        <v>20</v>
      </c>
      <c r="AE33" s="767">
        <v>40</v>
      </c>
      <c r="AF33" s="767">
        <v>60</v>
      </c>
      <c r="AG33" s="767">
        <v>80</v>
      </c>
      <c r="AH33" s="767">
        <v>100</v>
      </c>
      <c r="AI33" s="766"/>
      <c r="AJ33" s="766"/>
      <c r="AK33" s="766"/>
      <c r="AL33" s="766"/>
      <c r="AM33" s="766"/>
      <c r="AN33" s="766"/>
      <c r="AO33" s="766"/>
      <c r="AP33" s="766"/>
      <c r="AQ33" s="766"/>
      <c r="AR33" s="766"/>
      <c r="AS33" s="766"/>
      <c r="AT33" s="766"/>
      <c r="AU33" s="766">
        <v>100</v>
      </c>
      <c r="AV33" s="766">
        <v>100</v>
      </c>
      <c r="AW33" s="766">
        <v>100</v>
      </c>
      <c r="AX33" s="766">
        <v>100</v>
      </c>
      <c r="AY33" s="766">
        <v>100</v>
      </c>
      <c r="AZ33" s="766">
        <v>100</v>
      </c>
      <c r="BA33" s="766">
        <v>100</v>
      </c>
      <c r="BB33" s="766">
        <v>100</v>
      </c>
      <c r="BC33" s="766">
        <v>100</v>
      </c>
      <c r="BD33" s="766">
        <v>100</v>
      </c>
      <c r="BE33" s="766">
        <v>100</v>
      </c>
    </row>
    <row r="34" spans="1:57" ht="45.95" customHeight="1">
      <c r="A34" s="741" t="s">
        <v>525</v>
      </c>
      <c r="B34" s="745" t="s">
        <v>564</v>
      </c>
      <c r="C34" s="736">
        <v>71</v>
      </c>
      <c r="D34" s="731">
        <f t="shared" si="6"/>
        <v>9.8447032723239045E-3</v>
      </c>
      <c r="E34" s="744"/>
      <c r="F34" s="765"/>
      <c r="G34" s="765"/>
      <c r="H34" s="765"/>
      <c r="I34" s="765"/>
      <c r="J34" s="765"/>
      <c r="K34" s="765"/>
      <c r="L34" s="765"/>
      <c r="M34" s="765"/>
      <c r="N34" s="765"/>
      <c r="O34" s="765"/>
      <c r="P34" s="765"/>
      <c r="Q34" s="765"/>
      <c r="R34" s="765"/>
      <c r="S34" s="765"/>
      <c r="T34" s="765"/>
      <c r="U34" s="765"/>
      <c r="V34" s="765"/>
      <c r="W34" s="765"/>
      <c r="X34" s="765"/>
      <c r="Y34" s="765"/>
      <c r="Z34" s="765"/>
      <c r="AA34" s="765"/>
      <c r="AB34" s="765"/>
      <c r="AC34" s="765"/>
      <c r="AD34" s="765"/>
      <c r="AE34" s="765"/>
      <c r="AF34" s="765"/>
      <c r="AG34" s="765"/>
      <c r="AH34" s="767">
        <v>50</v>
      </c>
      <c r="AI34" s="767">
        <v>100</v>
      </c>
      <c r="AJ34" s="766"/>
      <c r="AK34" s="766"/>
      <c r="AL34" s="766"/>
      <c r="AM34" s="766"/>
      <c r="AN34" s="766"/>
      <c r="AO34" s="766"/>
      <c r="AP34" s="766"/>
      <c r="AQ34" s="766"/>
      <c r="AR34" s="766"/>
      <c r="AS34" s="766"/>
      <c r="AT34" s="766"/>
      <c r="AU34" s="766">
        <v>100</v>
      </c>
      <c r="AV34" s="766">
        <v>100</v>
      </c>
      <c r="AW34" s="766">
        <v>100</v>
      </c>
      <c r="AX34" s="766">
        <v>100</v>
      </c>
      <c r="AY34" s="766">
        <v>100</v>
      </c>
      <c r="AZ34" s="766">
        <v>100</v>
      </c>
      <c r="BA34" s="766">
        <v>100</v>
      </c>
      <c r="BB34" s="766">
        <v>100</v>
      </c>
      <c r="BC34" s="766">
        <v>100</v>
      </c>
      <c r="BD34" s="766">
        <v>100</v>
      </c>
      <c r="BE34" s="766">
        <v>100</v>
      </c>
    </row>
    <row r="35" spans="1:57" ht="45.95" customHeight="1">
      <c r="A35" s="741" t="s">
        <v>474</v>
      </c>
      <c r="B35" s="745" t="s">
        <v>565</v>
      </c>
      <c r="C35" s="736">
        <v>123</v>
      </c>
      <c r="D35" s="731">
        <f t="shared" si="6"/>
        <v>1.7054908485856904E-2</v>
      </c>
      <c r="E35" s="744"/>
      <c r="F35" s="765"/>
      <c r="G35" s="765"/>
      <c r="H35" s="765"/>
      <c r="I35" s="765"/>
      <c r="J35" s="765"/>
      <c r="K35" s="765"/>
      <c r="L35" s="765"/>
      <c r="M35" s="765"/>
      <c r="N35" s="765"/>
      <c r="O35" s="765"/>
      <c r="P35" s="765"/>
      <c r="Q35" s="765"/>
      <c r="R35" s="765"/>
      <c r="S35" s="765"/>
      <c r="T35" s="765"/>
      <c r="U35" s="765"/>
      <c r="V35" s="765"/>
      <c r="W35" s="765"/>
      <c r="X35" s="765"/>
      <c r="Y35" s="765"/>
      <c r="Z35" s="765"/>
      <c r="AA35" s="765"/>
      <c r="AB35" s="765"/>
      <c r="AC35" s="765"/>
      <c r="AD35" s="765"/>
      <c r="AE35" s="765"/>
      <c r="AF35" s="765"/>
      <c r="AG35" s="765"/>
      <c r="AH35" s="765"/>
      <c r="AI35" s="767">
        <v>33</v>
      </c>
      <c r="AJ35" s="767">
        <v>66</v>
      </c>
      <c r="AK35" s="767">
        <v>100</v>
      </c>
      <c r="AL35" s="766"/>
      <c r="AM35" s="766"/>
      <c r="AN35" s="766"/>
      <c r="AO35" s="766"/>
      <c r="AP35" s="766"/>
      <c r="AQ35" s="766"/>
      <c r="AR35" s="766"/>
      <c r="AS35" s="766"/>
      <c r="AT35" s="766"/>
      <c r="AU35" s="766">
        <v>100</v>
      </c>
      <c r="AV35" s="766">
        <v>100</v>
      </c>
      <c r="AW35" s="766">
        <v>100</v>
      </c>
      <c r="AX35" s="766">
        <v>100</v>
      </c>
      <c r="AY35" s="766">
        <v>100</v>
      </c>
      <c r="AZ35" s="766">
        <v>100</v>
      </c>
      <c r="BA35" s="766">
        <v>100</v>
      </c>
      <c r="BB35" s="766">
        <v>100</v>
      </c>
      <c r="BC35" s="766">
        <v>100</v>
      </c>
      <c r="BD35" s="766">
        <v>100</v>
      </c>
      <c r="BE35" s="766">
        <v>100</v>
      </c>
    </row>
    <row r="36" spans="1:57" ht="45.95" customHeight="1">
      <c r="A36" s="741" t="s">
        <v>475</v>
      </c>
      <c r="B36" s="745" t="s">
        <v>566</v>
      </c>
      <c r="C36" s="736">
        <v>240</v>
      </c>
      <c r="D36" s="731">
        <f t="shared" si="6"/>
        <v>3.3277870216306155E-2</v>
      </c>
      <c r="E36" s="744"/>
      <c r="F36" s="765"/>
      <c r="G36" s="765"/>
      <c r="H36" s="765"/>
      <c r="I36" s="765"/>
      <c r="J36" s="765"/>
      <c r="K36" s="765"/>
      <c r="L36" s="765"/>
      <c r="M36" s="765"/>
      <c r="N36" s="765"/>
      <c r="O36" s="765"/>
      <c r="P36" s="765"/>
      <c r="Q36" s="765"/>
      <c r="R36" s="765"/>
      <c r="S36" s="765"/>
      <c r="T36" s="765"/>
      <c r="U36" s="765"/>
      <c r="V36" s="765"/>
      <c r="W36" s="765"/>
      <c r="X36" s="765"/>
      <c r="Y36" s="765"/>
      <c r="Z36" s="765"/>
      <c r="AA36" s="765"/>
      <c r="AB36" s="765"/>
      <c r="AC36" s="765"/>
      <c r="AD36" s="765"/>
      <c r="AE36" s="765"/>
      <c r="AF36" s="765"/>
      <c r="AG36" s="765"/>
      <c r="AH36" s="765"/>
      <c r="AI36" s="765"/>
      <c r="AJ36" s="767">
        <v>20</v>
      </c>
      <c r="AK36" s="767">
        <v>40</v>
      </c>
      <c r="AL36" s="767">
        <v>60</v>
      </c>
      <c r="AM36" s="767">
        <v>80</v>
      </c>
      <c r="AN36" s="767">
        <v>100</v>
      </c>
      <c r="AO36" s="766"/>
      <c r="AP36" s="766"/>
      <c r="AQ36" s="766"/>
      <c r="AR36" s="766"/>
      <c r="AS36" s="766"/>
      <c r="AT36" s="766"/>
      <c r="AU36" s="766">
        <v>100</v>
      </c>
      <c r="AV36" s="766">
        <v>100</v>
      </c>
      <c r="AW36" s="766">
        <v>100</v>
      </c>
      <c r="AX36" s="766">
        <v>100</v>
      </c>
      <c r="AY36" s="766">
        <v>100</v>
      </c>
      <c r="AZ36" s="766">
        <v>100</v>
      </c>
      <c r="BA36" s="766">
        <v>100</v>
      </c>
      <c r="BB36" s="766">
        <v>100</v>
      </c>
      <c r="BC36" s="766">
        <v>100</v>
      </c>
      <c r="BD36" s="766">
        <v>100</v>
      </c>
      <c r="BE36" s="766">
        <v>100</v>
      </c>
    </row>
    <row r="37" spans="1:57" ht="45.95" customHeight="1">
      <c r="A37" s="741" t="s">
        <v>476</v>
      </c>
      <c r="B37" s="743" t="s">
        <v>567</v>
      </c>
      <c r="C37" s="736">
        <v>285</v>
      </c>
      <c r="D37" s="731">
        <f t="shared" si="6"/>
        <v>3.951747088186356E-2</v>
      </c>
      <c r="E37" s="744"/>
      <c r="F37" s="765"/>
      <c r="G37" s="765"/>
      <c r="H37" s="765"/>
      <c r="I37" s="765"/>
      <c r="J37" s="765"/>
      <c r="K37" s="765"/>
      <c r="L37" s="765"/>
      <c r="M37" s="765"/>
      <c r="N37" s="765"/>
      <c r="O37" s="765"/>
      <c r="P37" s="765"/>
      <c r="Q37" s="765"/>
      <c r="R37" s="765"/>
      <c r="S37" s="765"/>
      <c r="T37" s="765"/>
      <c r="U37" s="765"/>
      <c r="V37" s="765"/>
      <c r="W37" s="765"/>
      <c r="X37" s="765"/>
      <c r="Y37" s="765"/>
      <c r="Z37" s="765"/>
      <c r="AA37" s="765"/>
      <c r="AB37" s="765"/>
      <c r="AC37" s="765"/>
      <c r="AD37" s="765"/>
      <c r="AE37" s="765"/>
      <c r="AF37" s="765"/>
      <c r="AG37" s="765"/>
      <c r="AH37" s="765"/>
      <c r="AI37" s="766"/>
      <c r="AJ37" s="766"/>
      <c r="AK37" s="766"/>
      <c r="AL37" s="766"/>
      <c r="AM37" s="767">
        <v>16.666666666666668</v>
      </c>
      <c r="AN37" s="767">
        <v>33.666666666666671</v>
      </c>
      <c r="AO37" s="767">
        <v>50.666666666666671</v>
      </c>
      <c r="AP37" s="767">
        <v>67.666666666666671</v>
      </c>
      <c r="AQ37" s="767">
        <v>84.666666666666671</v>
      </c>
      <c r="AR37" s="767">
        <v>100</v>
      </c>
      <c r="AS37" s="766"/>
      <c r="AT37" s="766"/>
      <c r="AU37" s="766">
        <v>100</v>
      </c>
      <c r="AV37" s="766">
        <v>100</v>
      </c>
      <c r="AW37" s="766">
        <v>100</v>
      </c>
      <c r="AX37" s="766">
        <v>100</v>
      </c>
      <c r="AY37" s="766">
        <v>100</v>
      </c>
      <c r="AZ37" s="766">
        <v>100</v>
      </c>
      <c r="BA37" s="766">
        <v>100</v>
      </c>
      <c r="BB37" s="766">
        <v>100</v>
      </c>
      <c r="BC37" s="766">
        <v>100</v>
      </c>
      <c r="BD37" s="766">
        <v>100</v>
      </c>
      <c r="BE37" s="766">
        <v>100</v>
      </c>
    </row>
    <row r="38" spans="1:57" ht="45.95" customHeight="1">
      <c r="A38" s="741" t="s">
        <v>477</v>
      </c>
      <c r="B38" s="745" t="s">
        <v>568</v>
      </c>
      <c r="C38" s="736">
        <v>128</v>
      </c>
      <c r="D38" s="731">
        <f t="shared" si="6"/>
        <v>1.7748197448696618E-2</v>
      </c>
      <c r="E38" s="744"/>
      <c r="F38" s="765"/>
      <c r="G38" s="765"/>
      <c r="H38" s="765"/>
      <c r="I38" s="765"/>
      <c r="J38" s="765"/>
      <c r="K38" s="765"/>
      <c r="L38" s="765"/>
      <c r="M38" s="765"/>
      <c r="N38" s="765"/>
      <c r="O38" s="765"/>
      <c r="P38" s="765"/>
      <c r="Q38" s="765"/>
      <c r="R38" s="765"/>
      <c r="S38" s="765"/>
      <c r="T38" s="765"/>
      <c r="U38" s="765"/>
      <c r="V38" s="765"/>
      <c r="W38" s="765"/>
      <c r="X38" s="765"/>
      <c r="Y38" s="765"/>
      <c r="Z38" s="765"/>
      <c r="AA38" s="765"/>
      <c r="AB38" s="765"/>
      <c r="AC38" s="765"/>
      <c r="AD38" s="765"/>
      <c r="AE38" s="765"/>
      <c r="AF38" s="765"/>
      <c r="AG38" s="765"/>
      <c r="AH38" s="765"/>
      <c r="AI38" s="765"/>
      <c r="AJ38" s="766"/>
      <c r="AK38" s="766"/>
      <c r="AL38" s="766"/>
      <c r="AM38" s="766"/>
      <c r="AN38" s="766"/>
      <c r="AO38" s="766"/>
      <c r="AP38" s="767">
        <v>25</v>
      </c>
      <c r="AQ38" s="767">
        <v>50</v>
      </c>
      <c r="AR38" s="767">
        <v>75</v>
      </c>
      <c r="AS38" s="767">
        <v>100</v>
      </c>
      <c r="AT38" s="766"/>
      <c r="AU38" s="766">
        <v>100</v>
      </c>
      <c r="AV38" s="766">
        <v>100</v>
      </c>
      <c r="AW38" s="766">
        <v>100</v>
      </c>
      <c r="AX38" s="766">
        <v>100</v>
      </c>
      <c r="AY38" s="766">
        <v>100</v>
      </c>
      <c r="AZ38" s="766">
        <v>100</v>
      </c>
      <c r="BA38" s="766">
        <v>100</v>
      </c>
      <c r="BB38" s="766">
        <v>100</v>
      </c>
      <c r="BC38" s="766">
        <v>100</v>
      </c>
      <c r="BD38" s="766">
        <v>100</v>
      </c>
      <c r="BE38" s="766">
        <v>100</v>
      </c>
    </row>
    <row r="39" spans="1:57" ht="45.95" customHeight="1">
      <c r="A39" s="741" t="s">
        <v>478</v>
      </c>
      <c r="B39" s="745" t="s">
        <v>569</v>
      </c>
      <c r="C39" s="736">
        <v>110</v>
      </c>
      <c r="D39" s="731">
        <f t="shared" si="6"/>
        <v>1.5252357182473655E-2</v>
      </c>
      <c r="E39" s="744"/>
      <c r="F39" s="765"/>
      <c r="G39" s="765"/>
      <c r="H39" s="765"/>
      <c r="I39" s="765"/>
      <c r="J39" s="765"/>
      <c r="K39" s="765"/>
      <c r="L39" s="765"/>
      <c r="M39" s="765"/>
      <c r="N39" s="765"/>
      <c r="O39" s="765"/>
      <c r="P39" s="765"/>
      <c r="Q39" s="765"/>
      <c r="R39" s="765"/>
      <c r="S39" s="765"/>
      <c r="T39" s="765"/>
      <c r="U39" s="765"/>
      <c r="V39" s="765"/>
      <c r="W39" s="765"/>
      <c r="X39" s="765"/>
      <c r="Y39" s="765"/>
      <c r="Z39" s="765"/>
      <c r="AA39" s="765"/>
      <c r="AB39" s="765"/>
      <c r="AC39" s="765"/>
      <c r="AD39" s="765"/>
      <c r="AE39" s="765"/>
      <c r="AF39" s="765"/>
      <c r="AG39" s="765"/>
      <c r="AH39" s="765"/>
      <c r="AI39" s="765"/>
      <c r="AJ39" s="765"/>
      <c r="AK39" s="765"/>
      <c r="AL39" s="765"/>
      <c r="AM39" s="765"/>
      <c r="AN39" s="765"/>
      <c r="AO39" s="765"/>
      <c r="AP39" s="765"/>
      <c r="AQ39" s="765"/>
      <c r="AR39" s="767">
        <v>33</v>
      </c>
      <c r="AS39" s="767">
        <v>66</v>
      </c>
      <c r="AT39" s="767">
        <v>100</v>
      </c>
      <c r="AU39" s="766">
        <v>100</v>
      </c>
      <c r="AV39" s="766">
        <v>100</v>
      </c>
      <c r="AW39" s="766">
        <v>100</v>
      </c>
      <c r="AX39" s="766">
        <v>100</v>
      </c>
      <c r="AY39" s="766">
        <v>100</v>
      </c>
      <c r="AZ39" s="766">
        <v>100</v>
      </c>
      <c r="BA39" s="766">
        <v>100</v>
      </c>
      <c r="BB39" s="766">
        <v>100</v>
      </c>
      <c r="BC39" s="766">
        <v>100</v>
      </c>
      <c r="BD39" s="766">
        <v>100</v>
      </c>
      <c r="BE39" s="766">
        <v>100</v>
      </c>
    </row>
    <row r="40" spans="1:57" ht="45.95" customHeight="1">
      <c r="A40" s="741"/>
      <c r="B40" s="769" t="s">
        <v>570</v>
      </c>
      <c r="C40" s="736"/>
      <c r="D40" s="731"/>
      <c r="E40" s="774"/>
      <c r="F40" s="765"/>
      <c r="G40" s="765"/>
      <c r="H40" s="765"/>
      <c r="I40" s="765"/>
      <c r="J40" s="765"/>
      <c r="K40" s="765"/>
      <c r="L40" s="765"/>
      <c r="M40" s="765"/>
      <c r="N40" s="765"/>
      <c r="O40" s="765"/>
      <c r="P40" s="765"/>
      <c r="Q40" s="765"/>
      <c r="R40" s="765"/>
      <c r="S40" s="765"/>
      <c r="T40" s="765"/>
      <c r="U40" s="765"/>
      <c r="V40" s="765"/>
      <c r="W40" s="765"/>
      <c r="X40" s="765"/>
      <c r="Y40" s="765"/>
      <c r="Z40" s="765"/>
      <c r="AA40" s="765"/>
      <c r="AB40" s="765"/>
      <c r="AC40" s="765"/>
      <c r="AD40" s="765"/>
      <c r="AE40" s="765"/>
      <c r="AF40" s="765"/>
      <c r="AG40" s="765"/>
      <c r="AH40" s="765"/>
      <c r="AI40" s="765"/>
      <c r="AJ40" s="765"/>
      <c r="AK40" s="765"/>
      <c r="AL40" s="765"/>
      <c r="AM40" s="765"/>
      <c r="AN40" s="765"/>
      <c r="AO40" s="765"/>
      <c r="AP40" s="765"/>
      <c r="AQ40" s="765"/>
      <c r="AR40" s="765"/>
      <c r="AS40" s="765"/>
      <c r="AT40" s="765"/>
      <c r="AU40" s="766"/>
      <c r="AV40" s="766"/>
      <c r="AW40" s="766"/>
      <c r="AX40" s="766"/>
      <c r="AY40" s="766"/>
      <c r="AZ40" s="766"/>
      <c r="BA40" s="766"/>
      <c r="BB40" s="766"/>
      <c r="BC40" s="766"/>
      <c r="BD40" s="766"/>
      <c r="BE40" s="766"/>
    </row>
    <row r="41" spans="1:57" ht="45.95" customHeight="1">
      <c r="A41" s="741" t="s">
        <v>479</v>
      </c>
      <c r="B41" s="745" t="s">
        <v>571</v>
      </c>
      <c r="C41" s="736">
        <v>75</v>
      </c>
      <c r="D41" s="731">
        <f>C41/$C$58</f>
        <v>1.0399334442595673E-2</v>
      </c>
      <c r="E41" s="744"/>
      <c r="F41" s="765"/>
      <c r="G41" s="765"/>
      <c r="H41" s="765"/>
      <c r="I41" s="765"/>
      <c r="J41" s="765"/>
      <c r="K41" s="765"/>
      <c r="L41" s="765"/>
      <c r="M41" s="765"/>
      <c r="N41" s="765"/>
      <c r="O41" s="765"/>
      <c r="P41" s="765"/>
      <c r="Q41" s="765"/>
      <c r="R41" s="765"/>
      <c r="S41" s="765"/>
      <c r="T41" s="765"/>
      <c r="U41" s="765"/>
      <c r="V41" s="765"/>
      <c r="W41" s="765"/>
      <c r="X41" s="765"/>
      <c r="Y41" s="765"/>
      <c r="Z41" s="765"/>
      <c r="AA41" s="765"/>
      <c r="AB41" s="765"/>
      <c r="AC41" s="765"/>
      <c r="AD41" s="765"/>
      <c r="AE41" s="765"/>
      <c r="AF41" s="765"/>
      <c r="AG41" s="765"/>
      <c r="AH41" s="767">
        <v>50</v>
      </c>
      <c r="AI41" s="767">
        <v>100</v>
      </c>
      <c r="AJ41" s="766"/>
      <c r="AK41" s="766"/>
      <c r="AL41" s="766"/>
      <c r="AM41" s="766"/>
      <c r="AN41" s="766"/>
      <c r="AO41" s="766"/>
      <c r="AP41" s="766"/>
      <c r="AQ41" s="766"/>
      <c r="AR41" s="766"/>
      <c r="AS41" s="766"/>
      <c r="AT41" s="766"/>
      <c r="AU41" s="766">
        <v>100</v>
      </c>
      <c r="AV41" s="766">
        <v>100</v>
      </c>
      <c r="AW41" s="766">
        <v>100</v>
      </c>
      <c r="AX41" s="766">
        <v>100</v>
      </c>
      <c r="AY41" s="766">
        <v>100</v>
      </c>
      <c r="AZ41" s="766">
        <v>100</v>
      </c>
      <c r="BA41" s="766">
        <v>100</v>
      </c>
      <c r="BB41" s="766">
        <v>100</v>
      </c>
      <c r="BC41" s="766">
        <v>100</v>
      </c>
      <c r="BD41" s="766">
        <v>100</v>
      </c>
      <c r="BE41" s="766">
        <v>100</v>
      </c>
    </row>
    <row r="42" spans="1:57" ht="45.95" customHeight="1">
      <c r="A42" s="741" t="s">
        <v>480</v>
      </c>
      <c r="B42" s="745" t="s">
        <v>572</v>
      </c>
      <c r="C42" s="736">
        <v>190</v>
      </c>
      <c r="D42" s="731">
        <f>C42/$C$58</f>
        <v>2.6344980587909041E-2</v>
      </c>
      <c r="E42" s="744"/>
      <c r="F42" s="765"/>
      <c r="G42" s="765"/>
      <c r="H42" s="765"/>
      <c r="I42" s="765"/>
      <c r="J42" s="765"/>
      <c r="K42" s="765"/>
      <c r="L42" s="765"/>
      <c r="M42" s="765"/>
      <c r="N42" s="765"/>
      <c r="O42" s="765"/>
      <c r="P42" s="765"/>
      <c r="Q42" s="765"/>
      <c r="R42" s="765"/>
      <c r="S42" s="765"/>
      <c r="T42" s="765"/>
      <c r="U42" s="765"/>
      <c r="V42" s="765"/>
      <c r="W42" s="765"/>
      <c r="X42" s="765"/>
      <c r="Y42" s="765"/>
      <c r="Z42" s="765"/>
      <c r="AA42" s="765"/>
      <c r="AB42" s="765"/>
      <c r="AC42" s="765"/>
      <c r="AD42" s="765"/>
      <c r="AE42" s="765"/>
      <c r="AF42" s="765"/>
      <c r="AG42" s="765"/>
      <c r="AH42" s="765"/>
      <c r="AI42" s="767">
        <v>20</v>
      </c>
      <c r="AJ42" s="767">
        <v>40</v>
      </c>
      <c r="AK42" s="767">
        <v>60</v>
      </c>
      <c r="AL42" s="767">
        <v>80</v>
      </c>
      <c r="AM42" s="767">
        <v>100</v>
      </c>
      <c r="AN42" s="766"/>
      <c r="AO42" s="766"/>
      <c r="AP42" s="766"/>
      <c r="AQ42" s="766"/>
      <c r="AR42" s="766"/>
      <c r="AS42" s="766"/>
      <c r="AT42" s="766"/>
      <c r="AU42" s="766">
        <v>100</v>
      </c>
      <c r="AV42" s="766">
        <v>100</v>
      </c>
      <c r="AW42" s="766">
        <v>100</v>
      </c>
      <c r="AX42" s="766">
        <v>100</v>
      </c>
      <c r="AY42" s="766">
        <v>100</v>
      </c>
      <c r="AZ42" s="766">
        <v>100</v>
      </c>
      <c r="BA42" s="766">
        <v>100</v>
      </c>
      <c r="BB42" s="766">
        <v>100</v>
      </c>
      <c r="BC42" s="766">
        <v>100</v>
      </c>
      <c r="BD42" s="766">
        <v>100</v>
      </c>
      <c r="BE42" s="766">
        <v>100</v>
      </c>
    </row>
    <row r="43" spans="1:57" ht="45.95" customHeight="1">
      <c r="A43" s="741" t="s">
        <v>481</v>
      </c>
      <c r="B43" s="745" t="s">
        <v>573</v>
      </c>
      <c r="C43" s="736">
        <v>70</v>
      </c>
      <c r="D43" s="731">
        <f>C43/$C$58</f>
        <v>9.7060454797559623E-3</v>
      </c>
      <c r="E43" s="744"/>
      <c r="F43" s="765"/>
      <c r="G43" s="765"/>
      <c r="H43" s="765"/>
      <c r="I43" s="765"/>
      <c r="J43" s="765"/>
      <c r="K43" s="765"/>
      <c r="L43" s="765"/>
      <c r="M43" s="765"/>
      <c r="N43" s="765"/>
      <c r="O43" s="765"/>
      <c r="P43" s="765"/>
      <c r="Q43" s="765"/>
      <c r="R43" s="765"/>
      <c r="S43" s="765"/>
      <c r="T43" s="765"/>
      <c r="U43" s="765"/>
      <c r="V43" s="765"/>
      <c r="W43" s="765"/>
      <c r="X43" s="765"/>
      <c r="Y43" s="765"/>
      <c r="Z43" s="765"/>
      <c r="AA43" s="765"/>
      <c r="AB43" s="765"/>
      <c r="AC43" s="765"/>
      <c r="AD43" s="765"/>
      <c r="AE43" s="765"/>
      <c r="AF43" s="765"/>
      <c r="AG43" s="765"/>
      <c r="AH43" s="765"/>
      <c r="AI43" s="765"/>
      <c r="AJ43" s="765"/>
      <c r="AK43" s="767">
        <v>25</v>
      </c>
      <c r="AL43" s="767">
        <v>50</v>
      </c>
      <c r="AM43" s="767">
        <v>75</v>
      </c>
      <c r="AN43" s="767">
        <v>100</v>
      </c>
      <c r="AO43" s="766"/>
      <c r="AP43" s="766"/>
      <c r="AQ43" s="766"/>
      <c r="AR43" s="766"/>
      <c r="AS43" s="766"/>
      <c r="AT43" s="766"/>
      <c r="AU43" s="766">
        <v>100</v>
      </c>
      <c r="AV43" s="766">
        <v>100</v>
      </c>
      <c r="AW43" s="766">
        <v>100</v>
      </c>
      <c r="AX43" s="766">
        <v>100</v>
      </c>
      <c r="AY43" s="766">
        <v>100</v>
      </c>
      <c r="AZ43" s="766">
        <v>100</v>
      </c>
      <c r="BA43" s="766">
        <v>100</v>
      </c>
      <c r="BB43" s="766">
        <v>100</v>
      </c>
      <c r="BC43" s="766">
        <v>100</v>
      </c>
      <c r="BD43" s="766">
        <v>100</v>
      </c>
      <c r="BE43" s="766">
        <v>100</v>
      </c>
    </row>
    <row r="44" spans="1:57" ht="45.95" customHeight="1">
      <c r="A44" s="741" t="s">
        <v>482</v>
      </c>
      <c r="B44" s="745" t="s">
        <v>574</v>
      </c>
      <c r="C44" s="736">
        <v>187</v>
      </c>
      <c r="D44" s="731">
        <f>C44/$C$58</f>
        <v>2.5929007210205215E-2</v>
      </c>
      <c r="E44" s="744"/>
      <c r="F44" s="765"/>
      <c r="G44" s="765"/>
      <c r="H44" s="765"/>
      <c r="I44" s="765"/>
      <c r="J44" s="765"/>
      <c r="K44" s="765"/>
      <c r="L44" s="765"/>
      <c r="M44" s="765"/>
      <c r="N44" s="765"/>
      <c r="O44" s="765"/>
      <c r="P44" s="765"/>
      <c r="Q44" s="765"/>
      <c r="R44" s="765"/>
      <c r="S44" s="765"/>
      <c r="T44" s="765"/>
      <c r="U44" s="765"/>
      <c r="V44" s="765"/>
      <c r="W44" s="765"/>
      <c r="X44" s="765"/>
      <c r="Y44" s="765"/>
      <c r="Z44" s="765"/>
      <c r="AA44" s="765"/>
      <c r="AB44" s="765"/>
      <c r="AC44" s="765"/>
      <c r="AD44" s="765"/>
      <c r="AE44" s="765"/>
      <c r="AF44" s="765"/>
      <c r="AG44" s="765"/>
      <c r="AH44" s="765"/>
      <c r="AI44" s="765"/>
      <c r="AJ44" s="765"/>
      <c r="AK44" s="765"/>
      <c r="AL44" s="767">
        <v>16.666666666666668</v>
      </c>
      <c r="AM44" s="767">
        <v>33.666666666666671</v>
      </c>
      <c r="AN44" s="767">
        <v>50.666666666666671</v>
      </c>
      <c r="AO44" s="767">
        <v>67.666666666666671</v>
      </c>
      <c r="AP44" s="767">
        <v>84.666666666666671</v>
      </c>
      <c r="AQ44" s="767">
        <v>100</v>
      </c>
      <c r="AR44" s="766"/>
      <c r="AS44" s="766"/>
      <c r="AT44" s="766"/>
      <c r="AU44" s="766">
        <v>100</v>
      </c>
      <c r="AV44" s="766">
        <v>100</v>
      </c>
      <c r="AW44" s="766">
        <v>100</v>
      </c>
      <c r="AX44" s="766">
        <v>100</v>
      </c>
      <c r="AY44" s="766">
        <v>100</v>
      </c>
      <c r="AZ44" s="766">
        <v>100</v>
      </c>
      <c r="BA44" s="766">
        <v>100</v>
      </c>
      <c r="BB44" s="766">
        <v>100</v>
      </c>
      <c r="BC44" s="766">
        <v>100</v>
      </c>
      <c r="BD44" s="766">
        <v>100</v>
      </c>
      <c r="BE44" s="766">
        <v>100</v>
      </c>
    </row>
    <row r="45" spans="1:57" ht="45.95" customHeight="1">
      <c r="A45" s="741" t="s">
        <v>483</v>
      </c>
      <c r="B45" s="745" t="s">
        <v>575</v>
      </c>
      <c r="C45" s="736">
        <v>110</v>
      </c>
      <c r="D45" s="731">
        <f>C45/$C$58</f>
        <v>1.5252357182473655E-2</v>
      </c>
      <c r="E45" s="744"/>
      <c r="F45" s="765"/>
      <c r="G45" s="765"/>
      <c r="H45" s="765"/>
      <c r="I45" s="765"/>
      <c r="J45" s="765"/>
      <c r="K45" s="765"/>
      <c r="L45" s="765"/>
      <c r="M45" s="765"/>
      <c r="N45" s="765"/>
      <c r="O45" s="765"/>
      <c r="P45" s="765"/>
      <c r="Q45" s="765"/>
      <c r="R45" s="765"/>
      <c r="S45" s="765"/>
      <c r="T45" s="765"/>
      <c r="U45" s="765"/>
      <c r="V45" s="765"/>
      <c r="W45" s="765"/>
      <c r="X45" s="765"/>
      <c r="Y45" s="765"/>
      <c r="Z45" s="765"/>
      <c r="AA45" s="765"/>
      <c r="AB45" s="765"/>
      <c r="AC45" s="765"/>
      <c r="AD45" s="765"/>
      <c r="AE45" s="765"/>
      <c r="AF45" s="765"/>
      <c r="AG45" s="765"/>
      <c r="AH45" s="765"/>
      <c r="AI45" s="765"/>
      <c r="AJ45" s="765"/>
      <c r="AK45" s="765"/>
      <c r="AL45" s="765"/>
      <c r="AM45" s="767">
        <v>33</v>
      </c>
      <c r="AN45" s="767">
        <v>66</v>
      </c>
      <c r="AO45" s="767">
        <v>100</v>
      </c>
      <c r="AP45" s="766"/>
      <c r="AQ45" s="766"/>
      <c r="AR45" s="766"/>
      <c r="AS45" s="766"/>
      <c r="AT45" s="766"/>
      <c r="AU45" s="766">
        <v>100</v>
      </c>
      <c r="AV45" s="766">
        <v>100</v>
      </c>
      <c r="AW45" s="766">
        <v>100</v>
      </c>
      <c r="AX45" s="766">
        <v>100</v>
      </c>
      <c r="AY45" s="766">
        <v>100</v>
      </c>
      <c r="AZ45" s="766">
        <v>100</v>
      </c>
      <c r="BA45" s="766">
        <v>100</v>
      </c>
      <c r="BB45" s="766">
        <v>100</v>
      </c>
      <c r="BC45" s="766">
        <v>100</v>
      </c>
      <c r="BD45" s="766">
        <v>100</v>
      </c>
      <c r="BE45" s="766">
        <v>100</v>
      </c>
    </row>
    <row r="46" spans="1:57" ht="45.95" customHeight="1">
      <c r="A46" s="741"/>
      <c r="B46" s="763" t="s">
        <v>304</v>
      </c>
      <c r="C46" s="736"/>
      <c r="D46" s="736"/>
      <c r="E46" s="736"/>
      <c r="F46" s="765"/>
      <c r="G46" s="765"/>
      <c r="H46" s="765"/>
      <c r="I46" s="765"/>
      <c r="J46" s="765"/>
      <c r="K46" s="765"/>
      <c r="L46" s="765"/>
      <c r="M46" s="765"/>
      <c r="N46" s="765"/>
      <c r="O46" s="765"/>
      <c r="P46" s="765"/>
      <c r="Q46" s="765"/>
      <c r="R46" s="765"/>
      <c r="S46" s="765"/>
      <c r="T46" s="765"/>
      <c r="U46" s="765"/>
      <c r="V46" s="765"/>
      <c r="W46" s="765"/>
      <c r="X46" s="765"/>
      <c r="Y46" s="765"/>
      <c r="Z46" s="765"/>
      <c r="AA46" s="765"/>
      <c r="AB46" s="765"/>
      <c r="AC46" s="765"/>
      <c r="AD46" s="765"/>
      <c r="AE46" s="765"/>
      <c r="AF46" s="765"/>
      <c r="AG46" s="765"/>
      <c r="AH46" s="765"/>
      <c r="AI46" s="765"/>
      <c r="AJ46" s="765"/>
      <c r="AK46" s="765"/>
      <c r="AL46" s="765"/>
      <c r="AM46" s="765"/>
      <c r="AN46" s="765"/>
      <c r="AO46" s="765"/>
      <c r="AP46" s="765"/>
      <c r="AQ46" s="765"/>
      <c r="AR46" s="765"/>
      <c r="AS46" s="765"/>
      <c r="AT46" s="765"/>
      <c r="AU46" s="766"/>
      <c r="AV46" s="766"/>
      <c r="AW46" s="766"/>
      <c r="AX46" s="766"/>
      <c r="AY46" s="766"/>
      <c r="AZ46" s="766"/>
      <c r="BA46" s="766"/>
      <c r="BB46" s="766"/>
      <c r="BC46" s="766"/>
      <c r="BD46" s="766"/>
      <c r="BE46" s="766"/>
    </row>
    <row r="47" spans="1:57" ht="45.95" customHeight="1">
      <c r="A47" s="741" t="s">
        <v>484</v>
      </c>
      <c r="B47" s="745" t="s">
        <v>576</v>
      </c>
      <c r="C47" s="736">
        <v>90</v>
      </c>
      <c r="D47" s="731">
        <f>C47/$C$58</f>
        <v>1.2479201331114808E-2</v>
      </c>
      <c r="E47" s="744"/>
      <c r="F47" s="765"/>
      <c r="G47" s="765"/>
      <c r="H47" s="765"/>
      <c r="I47" s="765"/>
      <c r="J47" s="765"/>
      <c r="K47" s="765"/>
      <c r="L47" s="765"/>
      <c r="M47" s="765"/>
      <c r="N47" s="765"/>
      <c r="O47" s="765"/>
      <c r="P47" s="765"/>
      <c r="Q47" s="765"/>
      <c r="R47" s="765"/>
      <c r="S47" s="765"/>
      <c r="T47" s="765"/>
      <c r="U47" s="765"/>
      <c r="V47" s="765"/>
      <c r="W47" s="765"/>
      <c r="X47" s="765"/>
      <c r="Y47" s="765"/>
      <c r="Z47" s="765"/>
      <c r="AA47" s="765"/>
      <c r="AB47" s="765"/>
      <c r="AC47" s="765"/>
      <c r="AD47" s="765"/>
      <c r="AE47" s="765"/>
      <c r="AF47" s="765"/>
      <c r="AG47" s="765"/>
      <c r="AH47" s="765"/>
      <c r="AI47" s="765"/>
      <c r="AJ47" s="767">
        <v>50</v>
      </c>
      <c r="AK47" s="767">
        <v>100</v>
      </c>
      <c r="AL47" s="766"/>
      <c r="AM47" s="766"/>
      <c r="AN47" s="766"/>
      <c r="AO47" s="766"/>
      <c r="AP47" s="766"/>
      <c r="AQ47" s="766"/>
      <c r="AR47" s="766"/>
      <c r="AS47" s="766"/>
      <c r="AT47" s="766"/>
      <c r="AU47" s="766">
        <v>100</v>
      </c>
      <c r="AV47" s="766">
        <v>100</v>
      </c>
      <c r="AW47" s="766">
        <v>100</v>
      </c>
      <c r="AX47" s="766">
        <v>100</v>
      </c>
      <c r="AY47" s="766">
        <v>100</v>
      </c>
      <c r="AZ47" s="766">
        <v>100</v>
      </c>
      <c r="BA47" s="766">
        <v>100</v>
      </c>
      <c r="BB47" s="766">
        <v>100</v>
      </c>
      <c r="BC47" s="766">
        <v>100</v>
      </c>
      <c r="BD47" s="766">
        <v>100</v>
      </c>
      <c r="BE47" s="766">
        <v>100</v>
      </c>
    </row>
    <row r="48" spans="1:57" ht="45.95" customHeight="1">
      <c r="A48" s="741"/>
      <c r="B48" s="775" t="s">
        <v>328</v>
      </c>
      <c r="C48" s="736"/>
      <c r="D48" s="736"/>
      <c r="E48" s="736"/>
      <c r="F48" s="765"/>
      <c r="G48" s="765"/>
      <c r="H48" s="765"/>
      <c r="I48" s="765"/>
      <c r="J48" s="765"/>
      <c r="K48" s="765"/>
      <c r="L48" s="765"/>
      <c r="M48" s="765"/>
      <c r="N48" s="765"/>
      <c r="O48" s="765"/>
      <c r="P48" s="765"/>
      <c r="Q48" s="765"/>
      <c r="R48" s="765"/>
      <c r="S48" s="765"/>
      <c r="T48" s="765"/>
      <c r="U48" s="765"/>
      <c r="V48" s="765"/>
      <c r="W48" s="765"/>
      <c r="X48" s="765"/>
      <c r="Y48" s="765"/>
      <c r="Z48" s="765"/>
      <c r="AA48" s="765"/>
      <c r="AB48" s="765"/>
      <c r="AC48" s="765"/>
      <c r="AD48" s="765"/>
      <c r="AE48" s="765"/>
      <c r="AF48" s="765"/>
      <c r="AG48" s="765"/>
      <c r="AH48" s="765"/>
      <c r="AI48" s="765"/>
      <c r="AJ48" s="765"/>
      <c r="AK48" s="765"/>
      <c r="AL48" s="765"/>
      <c r="AM48" s="765"/>
      <c r="AN48" s="765"/>
      <c r="AO48" s="765"/>
      <c r="AP48" s="765"/>
      <c r="AQ48" s="765"/>
      <c r="AR48" s="765"/>
      <c r="AS48" s="765"/>
      <c r="AT48" s="765"/>
      <c r="AU48" s="766"/>
      <c r="AV48" s="766"/>
      <c r="AW48" s="766"/>
      <c r="AX48" s="766"/>
      <c r="AY48" s="766"/>
      <c r="AZ48" s="766"/>
      <c r="BA48" s="766"/>
      <c r="BB48" s="766"/>
      <c r="BC48" s="766"/>
      <c r="BD48" s="766"/>
      <c r="BE48" s="766"/>
    </row>
    <row r="49" spans="1:57" ht="45.95" customHeight="1">
      <c r="A49" s="741" t="s">
        <v>485</v>
      </c>
      <c r="B49" s="745" t="s">
        <v>577</v>
      </c>
      <c r="C49" s="736">
        <v>66</v>
      </c>
      <c r="D49" s="731">
        <f>C49/$C$58</f>
        <v>9.1514143094841936E-3</v>
      </c>
      <c r="E49" s="744"/>
      <c r="F49" s="765"/>
      <c r="G49" s="765"/>
      <c r="H49" s="765"/>
      <c r="I49" s="765"/>
      <c r="J49" s="765"/>
      <c r="K49" s="765"/>
      <c r="L49" s="765"/>
      <c r="M49" s="765"/>
      <c r="N49" s="765"/>
      <c r="O49" s="765"/>
      <c r="P49" s="765"/>
      <c r="Q49" s="765"/>
      <c r="R49" s="765"/>
      <c r="S49" s="765"/>
      <c r="T49" s="765"/>
      <c r="U49" s="765"/>
      <c r="V49" s="765"/>
      <c r="W49" s="765"/>
      <c r="X49" s="765"/>
      <c r="Y49" s="765"/>
      <c r="Z49" s="765"/>
      <c r="AA49" s="765"/>
      <c r="AB49" s="765"/>
      <c r="AC49" s="765"/>
      <c r="AD49" s="767">
        <v>50</v>
      </c>
      <c r="AE49" s="767">
        <v>100</v>
      </c>
      <c r="AF49" s="766"/>
      <c r="AG49" s="766"/>
      <c r="AH49" s="766"/>
      <c r="AI49" s="766"/>
      <c r="AJ49" s="766"/>
      <c r="AK49" s="766"/>
      <c r="AL49" s="766"/>
      <c r="AM49" s="766"/>
      <c r="AN49" s="766"/>
      <c r="AO49" s="766"/>
      <c r="AP49" s="766"/>
      <c r="AQ49" s="766"/>
      <c r="AR49" s="766"/>
      <c r="AS49" s="766"/>
      <c r="AT49" s="766"/>
      <c r="AU49" s="766">
        <v>100</v>
      </c>
      <c r="AV49" s="766">
        <v>100</v>
      </c>
      <c r="AW49" s="766">
        <v>100</v>
      </c>
      <c r="AX49" s="766">
        <v>100</v>
      </c>
      <c r="AY49" s="766">
        <v>100</v>
      </c>
      <c r="AZ49" s="766">
        <v>100</v>
      </c>
      <c r="BA49" s="766">
        <v>100</v>
      </c>
      <c r="BB49" s="766">
        <v>100</v>
      </c>
      <c r="BC49" s="766">
        <v>100</v>
      </c>
      <c r="BD49" s="766">
        <v>100</v>
      </c>
      <c r="BE49" s="766">
        <v>100</v>
      </c>
    </row>
    <row r="50" spans="1:57" ht="45.95" customHeight="1">
      <c r="A50" s="741" t="s">
        <v>486</v>
      </c>
      <c r="B50" s="745" t="s">
        <v>578</v>
      </c>
      <c r="C50" s="736">
        <v>236</v>
      </c>
      <c r="D50" s="731">
        <f>C50/$C$58</f>
        <v>3.2723239046034386E-2</v>
      </c>
      <c r="E50" s="744"/>
      <c r="F50" s="765"/>
      <c r="G50" s="765"/>
      <c r="H50" s="765"/>
      <c r="I50" s="765"/>
      <c r="J50" s="765"/>
      <c r="K50" s="765"/>
      <c r="L50" s="765"/>
      <c r="M50" s="765"/>
      <c r="N50" s="765"/>
      <c r="O50" s="765"/>
      <c r="P50" s="765"/>
      <c r="Q50" s="765"/>
      <c r="R50" s="765"/>
      <c r="S50" s="765"/>
      <c r="T50" s="765"/>
      <c r="U50" s="765"/>
      <c r="V50" s="765"/>
      <c r="W50" s="765"/>
      <c r="X50" s="765"/>
      <c r="Y50" s="765"/>
      <c r="Z50" s="765"/>
      <c r="AA50" s="765"/>
      <c r="AB50" s="765"/>
      <c r="AC50" s="765"/>
      <c r="AD50" s="765"/>
      <c r="AE50" s="767">
        <v>20</v>
      </c>
      <c r="AF50" s="767">
        <v>40</v>
      </c>
      <c r="AG50" s="767">
        <v>60</v>
      </c>
      <c r="AH50" s="767">
        <v>80</v>
      </c>
      <c r="AI50" s="767">
        <v>100</v>
      </c>
      <c r="AJ50" s="766"/>
      <c r="AK50" s="766"/>
      <c r="AL50" s="766"/>
      <c r="AM50" s="766"/>
      <c r="AN50" s="766"/>
      <c r="AO50" s="766"/>
      <c r="AP50" s="766"/>
      <c r="AQ50" s="766"/>
      <c r="AR50" s="766"/>
      <c r="AS50" s="766"/>
      <c r="AT50" s="766"/>
      <c r="AU50" s="766">
        <v>100</v>
      </c>
      <c r="AV50" s="766">
        <v>100</v>
      </c>
      <c r="AW50" s="766">
        <v>100</v>
      </c>
      <c r="AX50" s="766">
        <v>100</v>
      </c>
      <c r="AY50" s="766">
        <v>100</v>
      </c>
      <c r="AZ50" s="766">
        <v>100</v>
      </c>
      <c r="BA50" s="766">
        <v>100</v>
      </c>
      <c r="BB50" s="766">
        <v>100</v>
      </c>
      <c r="BC50" s="766">
        <v>100</v>
      </c>
      <c r="BD50" s="766">
        <v>100</v>
      </c>
      <c r="BE50" s="766">
        <v>100</v>
      </c>
    </row>
    <row r="51" spans="1:57" ht="45.95" customHeight="1">
      <c r="A51" s="741"/>
      <c r="B51" s="775" t="s">
        <v>579</v>
      </c>
      <c r="C51" s="736"/>
      <c r="D51" s="736"/>
      <c r="E51" s="736"/>
      <c r="F51" s="765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765"/>
      <c r="U51" s="765"/>
      <c r="V51" s="765"/>
      <c r="W51" s="765"/>
      <c r="X51" s="765"/>
      <c r="Y51" s="765"/>
      <c r="Z51" s="765"/>
      <c r="AA51" s="765"/>
      <c r="AB51" s="765"/>
      <c r="AC51" s="765"/>
      <c r="AD51" s="765"/>
      <c r="AE51" s="765"/>
      <c r="AF51" s="765"/>
      <c r="AG51" s="765"/>
      <c r="AH51" s="765"/>
      <c r="AI51" s="765"/>
      <c r="AJ51" s="765"/>
      <c r="AK51" s="765"/>
      <c r="AL51" s="765"/>
      <c r="AM51" s="765"/>
      <c r="AN51" s="765"/>
      <c r="AO51" s="765"/>
      <c r="AP51" s="765"/>
      <c r="AQ51" s="765"/>
      <c r="AR51" s="765"/>
      <c r="AS51" s="765"/>
      <c r="AT51" s="765"/>
      <c r="AU51" s="766"/>
      <c r="AV51" s="766"/>
      <c r="AW51" s="766"/>
      <c r="AX51" s="766"/>
      <c r="AY51" s="766"/>
      <c r="AZ51" s="766"/>
      <c r="BA51" s="766"/>
      <c r="BB51" s="766"/>
      <c r="BC51" s="766"/>
      <c r="BD51" s="766"/>
      <c r="BE51" s="766"/>
    </row>
    <row r="52" spans="1:57" ht="45.95" customHeight="1">
      <c r="A52" s="741" t="s">
        <v>487</v>
      </c>
      <c r="B52" s="745" t="s">
        <v>580</v>
      </c>
      <c r="C52" s="736">
        <v>150</v>
      </c>
      <c r="D52" s="731">
        <f>C52/$C$58</f>
        <v>2.0798668885191347E-2</v>
      </c>
      <c r="E52" s="744"/>
      <c r="F52" s="765"/>
      <c r="G52" s="765"/>
      <c r="H52" s="765"/>
      <c r="I52" s="765"/>
      <c r="J52" s="765"/>
      <c r="K52" s="765"/>
      <c r="L52" s="765"/>
      <c r="M52" s="765"/>
      <c r="N52" s="765"/>
      <c r="O52" s="765"/>
      <c r="P52" s="765"/>
      <c r="Q52" s="765"/>
      <c r="R52" s="765"/>
      <c r="S52" s="765"/>
      <c r="T52" s="765"/>
      <c r="U52" s="765"/>
      <c r="V52" s="765"/>
      <c r="W52" s="765"/>
      <c r="X52" s="765"/>
      <c r="Y52" s="765"/>
      <c r="Z52" s="765"/>
      <c r="AA52" s="765"/>
      <c r="AB52" s="765"/>
      <c r="AC52" s="765"/>
      <c r="AD52" s="765"/>
      <c r="AE52" s="765"/>
      <c r="AF52" s="765"/>
      <c r="AG52" s="765"/>
      <c r="AH52" s="765"/>
      <c r="AI52" s="765"/>
      <c r="AJ52" s="765"/>
      <c r="AK52" s="765"/>
      <c r="AL52" s="767">
        <v>33</v>
      </c>
      <c r="AM52" s="767">
        <v>66</v>
      </c>
      <c r="AN52" s="767">
        <v>100</v>
      </c>
      <c r="AO52" s="766"/>
      <c r="AP52" s="766"/>
      <c r="AQ52" s="766"/>
      <c r="AR52" s="766"/>
      <c r="AS52" s="766"/>
      <c r="AT52" s="766"/>
      <c r="AU52" s="766">
        <v>100</v>
      </c>
      <c r="AV52" s="766">
        <v>100</v>
      </c>
      <c r="AW52" s="766">
        <v>100</v>
      </c>
      <c r="AX52" s="766">
        <v>100</v>
      </c>
      <c r="AY52" s="766">
        <v>100</v>
      </c>
      <c r="AZ52" s="766">
        <v>100</v>
      </c>
      <c r="BA52" s="766">
        <v>100</v>
      </c>
      <c r="BB52" s="766">
        <v>100</v>
      </c>
      <c r="BC52" s="766">
        <v>100</v>
      </c>
      <c r="BD52" s="766">
        <v>100</v>
      </c>
      <c r="BE52" s="766">
        <v>100</v>
      </c>
    </row>
    <row r="53" spans="1:57" ht="45.95" customHeight="1">
      <c r="A53" s="741" t="s">
        <v>488</v>
      </c>
      <c r="B53" s="745" t="s">
        <v>581</v>
      </c>
      <c r="C53" s="736">
        <v>115</v>
      </c>
      <c r="D53" s="731">
        <f>C53/$C$58</f>
        <v>1.5945646145313366E-2</v>
      </c>
      <c r="E53" s="744"/>
      <c r="F53" s="765"/>
      <c r="G53" s="765"/>
      <c r="H53" s="765"/>
      <c r="I53" s="765"/>
      <c r="J53" s="765"/>
      <c r="K53" s="765"/>
      <c r="L53" s="765"/>
      <c r="M53" s="765"/>
      <c r="N53" s="765"/>
      <c r="O53" s="765"/>
      <c r="P53" s="765"/>
      <c r="Q53" s="765"/>
      <c r="R53" s="765"/>
      <c r="S53" s="765"/>
      <c r="T53" s="765"/>
      <c r="U53" s="765"/>
      <c r="V53" s="765"/>
      <c r="W53" s="765"/>
      <c r="X53" s="765"/>
      <c r="Y53" s="765"/>
      <c r="Z53" s="765"/>
      <c r="AA53" s="765"/>
      <c r="AB53" s="765"/>
      <c r="AC53" s="765"/>
      <c r="AD53" s="765"/>
      <c r="AE53" s="765"/>
      <c r="AF53" s="765"/>
      <c r="AG53" s="765"/>
      <c r="AH53" s="765"/>
      <c r="AI53" s="765"/>
      <c r="AJ53" s="765"/>
      <c r="AK53" s="765"/>
      <c r="AL53" s="765"/>
      <c r="AM53" s="765"/>
      <c r="AN53" s="767">
        <v>33</v>
      </c>
      <c r="AO53" s="767">
        <v>66</v>
      </c>
      <c r="AP53" s="767">
        <v>100</v>
      </c>
      <c r="AQ53" s="766"/>
      <c r="AR53" s="766"/>
      <c r="AS53" s="766"/>
      <c r="AT53" s="766"/>
      <c r="AU53" s="766">
        <v>100</v>
      </c>
      <c r="AV53" s="766">
        <v>100</v>
      </c>
      <c r="AW53" s="766">
        <v>100</v>
      </c>
      <c r="AX53" s="766">
        <v>100</v>
      </c>
      <c r="AY53" s="766">
        <v>100</v>
      </c>
      <c r="AZ53" s="766">
        <v>100</v>
      </c>
      <c r="BA53" s="766">
        <v>100</v>
      </c>
      <c r="BB53" s="766">
        <v>100</v>
      </c>
      <c r="BC53" s="766">
        <v>100</v>
      </c>
      <c r="BD53" s="766">
        <v>100</v>
      </c>
      <c r="BE53" s="766">
        <v>100</v>
      </c>
    </row>
    <row r="54" spans="1:57" ht="45.95" customHeight="1">
      <c r="A54" s="741"/>
      <c r="B54" s="745"/>
      <c r="C54" s="736"/>
      <c r="D54" s="736"/>
      <c r="E54" s="736"/>
      <c r="F54" s="765"/>
      <c r="G54" s="765"/>
      <c r="H54" s="765"/>
      <c r="I54" s="765"/>
      <c r="J54" s="765"/>
      <c r="K54" s="765"/>
      <c r="L54" s="765"/>
      <c r="M54" s="765"/>
      <c r="N54" s="765"/>
      <c r="O54" s="765"/>
      <c r="P54" s="765"/>
      <c r="Q54" s="765"/>
      <c r="R54" s="765"/>
      <c r="S54" s="765"/>
      <c r="T54" s="765"/>
      <c r="U54" s="765"/>
      <c r="V54" s="765"/>
      <c r="W54" s="765"/>
      <c r="X54" s="765"/>
      <c r="Y54" s="765"/>
      <c r="Z54" s="765"/>
      <c r="AA54" s="765"/>
      <c r="AB54" s="765"/>
      <c r="AC54" s="765"/>
      <c r="AD54" s="765"/>
      <c r="AE54" s="765"/>
      <c r="AF54" s="765"/>
      <c r="AG54" s="765"/>
      <c r="AH54" s="766"/>
      <c r="AI54" s="766"/>
      <c r="AJ54" s="766"/>
      <c r="AK54" s="766"/>
      <c r="AL54" s="766"/>
      <c r="AM54" s="766"/>
      <c r="AN54" s="766"/>
      <c r="AO54" s="766"/>
      <c r="AP54" s="766"/>
      <c r="AQ54" s="766"/>
      <c r="AR54" s="766"/>
      <c r="AS54" s="766"/>
      <c r="AT54" s="766"/>
      <c r="AU54" s="766"/>
      <c r="AV54" s="766"/>
      <c r="AW54" s="766"/>
      <c r="AX54" s="766"/>
      <c r="AY54" s="766"/>
      <c r="AZ54" s="766"/>
      <c r="BA54" s="766"/>
      <c r="BB54" s="766"/>
      <c r="BC54" s="766"/>
      <c r="BD54" s="766"/>
      <c r="BE54" s="766"/>
    </row>
    <row r="55" spans="1:57" ht="45.95" customHeight="1">
      <c r="A55" s="741" t="s">
        <v>489</v>
      </c>
      <c r="B55" s="776" t="s">
        <v>582</v>
      </c>
      <c r="C55" s="736">
        <v>342</v>
      </c>
      <c r="D55" s="731">
        <f>C55/$C$58</f>
        <v>4.7420965058236272E-2</v>
      </c>
      <c r="E55" s="744"/>
      <c r="F55" s="765"/>
      <c r="G55" s="765"/>
      <c r="H55" s="765"/>
      <c r="I55" s="765"/>
      <c r="J55" s="777">
        <v>7</v>
      </c>
      <c r="K55" s="777">
        <f t="shared" ref="K55:V55" si="7">J55+7</f>
        <v>14</v>
      </c>
      <c r="L55" s="777">
        <f t="shared" si="7"/>
        <v>21</v>
      </c>
      <c r="M55" s="777">
        <f t="shared" si="7"/>
        <v>28</v>
      </c>
      <c r="N55" s="777">
        <f t="shared" si="7"/>
        <v>35</v>
      </c>
      <c r="O55" s="777">
        <f t="shared" si="7"/>
        <v>42</v>
      </c>
      <c r="P55" s="777">
        <f t="shared" si="7"/>
        <v>49</v>
      </c>
      <c r="Q55" s="777">
        <f t="shared" si="7"/>
        <v>56</v>
      </c>
      <c r="R55" s="777">
        <f t="shared" si="7"/>
        <v>63</v>
      </c>
      <c r="S55" s="777">
        <f t="shared" si="7"/>
        <v>70</v>
      </c>
      <c r="T55" s="777">
        <f t="shared" si="7"/>
        <v>77</v>
      </c>
      <c r="U55" s="777">
        <f t="shared" si="7"/>
        <v>84</v>
      </c>
      <c r="V55" s="777">
        <f t="shared" si="7"/>
        <v>91</v>
      </c>
      <c r="W55" s="777">
        <v>100</v>
      </c>
      <c r="X55" s="766"/>
      <c r="Y55" s="766"/>
      <c r="Z55" s="766"/>
      <c r="AA55" s="766"/>
      <c r="AB55" s="766"/>
      <c r="AC55" s="766"/>
      <c r="AD55" s="766"/>
      <c r="AE55" s="766"/>
      <c r="AF55" s="766"/>
      <c r="AG55" s="766"/>
      <c r="AH55" s="766"/>
      <c r="AI55" s="766"/>
      <c r="AJ55" s="766"/>
      <c r="AK55" s="766"/>
      <c r="AL55" s="766"/>
      <c r="AM55" s="766"/>
      <c r="AN55" s="766"/>
      <c r="AO55" s="766"/>
      <c r="AP55" s="766"/>
      <c r="AQ55" s="766"/>
      <c r="AR55" s="766"/>
      <c r="AS55" s="766"/>
      <c r="AT55" s="766"/>
      <c r="AU55" s="766">
        <v>100</v>
      </c>
      <c r="AV55" s="766">
        <v>100</v>
      </c>
      <c r="AW55" s="766">
        <v>100</v>
      </c>
      <c r="AX55" s="766">
        <v>100</v>
      </c>
      <c r="AY55" s="766">
        <v>100</v>
      </c>
      <c r="AZ55" s="766">
        <v>100</v>
      </c>
      <c r="BA55" s="766">
        <v>100</v>
      </c>
      <c r="BB55" s="766">
        <v>100</v>
      </c>
      <c r="BC55" s="766">
        <v>100</v>
      </c>
      <c r="BD55" s="766">
        <v>100</v>
      </c>
      <c r="BE55" s="766">
        <v>100</v>
      </c>
    </row>
    <row r="56" spans="1:57" ht="45.95" customHeight="1">
      <c r="A56" s="741"/>
      <c r="B56" s="776"/>
      <c r="C56" s="736"/>
      <c r="D56" s="731"/>
      <c r="E56" s="774"/>
      <c r="F56" s="765"/>
      <c r="G56" s="765"/>
      <c r="H56" s="765"/>
      <c r="I56" s="765"/>
      <c r="J56" s="765"/>
      <c r="K56" s="765"/>
      <c r="L56" s="765"/>
      <c r="M56" s="765"/>
      <c r="N56" s="765"/>
      <c r="O56" s="765"/>
      <c r="P56" s="765"/>
      <c r="Q56" s="765"/>
      <c r="R56" s="765"/>
      <c r="S56" s="765"/>
      <c r="T56" s="765"/>
      <c r="U56" s="765"/>
      <c r="V56" s="765"/>
      <c r="W56" s="765"/>
      <c r="X56" s="765"/>
      <c r="Y56" s="765"/>
      <c r="Z56" s="765"/>
      <c r="AA56" s="765"/>
      <c r="AB56" s="765"/>
      <c r="AC56" s="765"/>
      <c r="AD56" s="765"/>
      <c r="AE56" s="765"/>
      <c r="AF56" s="765"/>
      <c r="AG56" s="765"/>
      <c r="AH56" s="765"/>
      <c r="AI56" s="765"/>
      <c r="AJ56" s="765"/>
      <c r="AK56" s="765"/>
      <c r="AL56" s="765"/>
      <c r="AM56" s="765"/>
      <c r="AN56" s="765"/>
      <c r="AO56" s="765"/>
      <c r="AP56" s="765"/>
      <c r="AQ56" s="765"/>
      <c r="AR56" s="765"/>
      <c r="AS56" s="765"/>
      <c r="AT56" s="765"/>
      <c r="AU56" s="766"/>
      <c r="AV56" s="766"/>
      <c r="AW56" s="766"/>
      <c r="AX56" s="766"/>
      <c r="AY56" s="766"/>
      <c r="AZ56" s="766"/>
      <c r="BA56" s="766"/>
      <c r="BB56" s="766"/>
      <c r="BC56" s="766"/>
      <c r="BD56" s="766"/>
      <c r="BE56" s="766"/>
    </row>
    <row r="57" spans="1:57" ht="45.95" customHeight="1" thickBot="1">
      <c r="A57" s="778"/>
      <c r="B57" s="779"/>
      <c r="D57" s="781"/>
      <c r="E57" s="782"/>
      <c r="F57" s="783"/>
      <c r="G57" s="783"/>
      <c r="H57" s="783"/>
      <c r="I57" s="783"/>
      <c r="J57" s="783"/>
      <c r="K57" s="783"/>
      <c r="L57" s="783"/>
      <c r="M57" s="783"/>
      <c r="N57" s="783"/>
      <c r="O57" s="783"/>
      <c r="P57" s="783"/>
      <c r="Q57" s="783"/>
      <c r="R57" s="783"/>
      <c r="S57" s="783"/>
      <c r="T57" s="783"/>
      <c r="U57" s="783"/>
      <c r="V57" s="783"/>
      <c r="W57" s="783"/>
      <c r="X57" s="783"/>
      <c r="Y57" s="783"/>
      <c r="Z57" s="783"/>
      <c r="AA57" s="783"/>
      <c r="AB57" s="783"/>
      <c r="AC57" s="783"/>
      <c r="AD57" s="783"/>
      <c r="AE57" s="783"/>
      <c r="AF57" s="783"/>
      <c r="AG57" s="783"/>
      <c r="AH57" s="783"/>
      <c r="AI57" s="783"/>
      <c r="AJ57" s="783"/>
      <c r="AK57" s="783"/>
      <c r="AL57" s="783"/>
      <c r="AM57" s="783"/>
      <c r="AN57" s="783"/>
      <c r="AO57" s="783"/>
      <c r="AP57" s="783"/>
      <c r="AQ57" s="783"/>
      <c r="AR57" s="783"/>
      <c r="AS57" s="783"/>
      <c r="AT57" s="783"/>
      <c r="AU57" s="784"/>
      <c r="AV57" s="784"/>
      <c r="AW57" s="784"/>
      <c r="AX57" s="784"/>
      <c r="AY57" s="784"/>
      <c r="AZ57" s="784"/>
      <c r="BA57" s="784"/>
      <c r="BB57" s="784"/>
      <c r="BC57" s="784"/>
      <c r="BD57" s="784"/>
      <c r="BE57" s="784"/>
    </row>
    <row r="58" spans="1:57" ht="45.95" customHeight="1">
      <c r="A58" s="785"/>
      <c r="B58" s="786" t="s">
        <v>535</v>
      </c>
      <c r="C58" s="787">
        <f>SUM(C7:C55)</f>
        <v>7212</v>
      </c>
      <c r="D58" s="788">
        <f>SUMPRODUCT(E8:E56,D8:D56)/100</f>
        <v>0</v>
      </c>
      <c r="E58" s="789"/>
      <c r="F58" s="790">
        <f>SUMPRODUCT(F6:F57,D6:D57)/100</f>
        <v>0</v>
      </c>
      <c r="G58" s="790">
        <f>SUMPRODUCT(G6:G57,D6:D57)/100</f>
        <v>0</v>
      </c>
      <c r="H58" s="790">
        <f>SUMPRODUCT(H6:H57,D6:D57)/100</f>
        <v>0</v>
      </c>
      <c r="I58" s="790">
        <f>SUMPRODUCT(I6:I57,D6:D57)/100</f>
        <v>0</v>
      </c>
      <c r="J58" s="790">
        <v>0</v>
      </c>
      <c r="K58" s="790">
        <v>0</v>
      </c>
      <c r="L58" s="790">
        <v>0</v>
      </c>
      <c r="M58" s="790">
        <f>SUMPRODUCT(M6:M57,D6:D57)/100</f>
        <v>1.7137178776113884E-2</v>
      </c>
      <c r="N58" s="790">
        <f>SUMPRODUCT(N6:N57,D6:D57)/100</f>
        <v>2.439314106119431E-2</v>
      </c>
      <c r="O58" s="790">
        <f>SUMPRODUCT(O6:O57,D6:D57)/100</f>
        <v>3.1649103346274729E-2</v>
      </c>
      <c r="P58" s="790">
        <f>SUMPRODUCT(P6:P57,D6:D57)/100</f>
        <v>4.804261416158255E-2</v>
      </c>
      <c r="Q58" s="790">
        <f>SUMPRODUCT(Q6:Q57,D6:D57)/100</f>
        <v>7.33629136624145E-2</v>
      </c>
      <c r="R58" s="790">
        <f>SUMPRODUCT(R6:R57,D6:D57)/100</f>
        <v>0.10916528008874099</v>
      </c>
      <c r="S58" s="790">
        <f>SUMPRODUCT(S6:S57,D6:D57)/100</f>
        <v>8.3257533740062867E-2</v>
      </c>
      <c r="T58" s="790">
        <f>SUMPRODUCT(T6:T57,D6:D57)/100</f>
        <v>0.11817711222037346</v>
      </c>
      <c r="U58" s="790">
        <f>SUMPRODUCT(U6:U57,D6:D57)/100</f>
        <v>0.12299685709003512</v>
      </c>
      <c r="V58" s="790">
        <f>SUMPRODUCT(V6:V57,D6:D57)/100</f>
        <v>0.13672120539841007</v>
      </c>
      <c r="W58" s="790">
        <f>SUMPRODUCT(W6:W57,D6:D57)/100</f>
        <v>0.14870123867628027</v>
      </c>
      <c r="X58" s="790">
        <f>SUMPRODUCT(X6:X57,D6:D57)/100</f>
        <v>0.10650073950822703</v>
      </c>
      <c r="Y58" s="790">
        <f>SUMPRODUCT(Y6:Y57,D6:D57)/100</f>
        <v>5.9578942503235345E-2</v>
      </c>
      <c r="Z58" s="790">
        <f>SUMPRODUCT(Z6:Z57,D6:D57)/100</f>
        <v>7.94208726197079E-2</v>
      </c>
      <c r="AA58" s="790">
        <f>SUMPRODUCT(AA6:AA57,D6:D57)/100</f>
        <v>9.0055925309669077E-2</v>
      </c>
      <c r="AB58" s="790">
        <f>SUMPRODUCT(AB6:AB57,D6:D57)/100</f>
        <v>7.4547051210944723E-2</v>
      </c>
      <c r="AC58" s="790">
        <f>SUMPRODUCT(AC6:AC57,D6:D57)/100</f>
        <v>0.11081530782029951</v>
      </c>
      <c r="AD58" s="790">
        <f>SUMPRODUCT(AD6:AD57,D6:D57)/100</f>
        <v>0.1141708264004437</v>
      </c>
      <c r="AE58" s="790">
        <f>SUMPRODUCT(AE6:AE57,D6:D57)/100</f>
        <v>0.16220188574597891</v>
      </c>
      <c r="AF58" s="790">
        <f>SUMPRODUCT(AF6:AF57,D6:D57)/100</f>
        <v>0.12927066001109261</v>
      </c>
      <c r="AG58" s="790">
        <f>SUMPRODUCT(AG6:AG57,D6:D57)/100</f>
        <v>0.12382972823072656</v>
      </c>
      <c r="AH58" s="790">
        <f>SUMPRODUCT(AH6:AH57,D6:D57)/100</f>
        <v>0.16439545202440375</v>
      </c>
      <c r="AI58" s="790">
        <f>SUMPRODUCT(AI6:AI57,D6:D57)/100</f>
        <v>0.13027870216306156</v>
      </c>
      <c r="AJ58" s="790">
        <f>SUMPRODUCT(AJ6:AJ57,D6:D57)/100</f>
        <v>0.11207986688851912</v>
      </c>
      <c r="AK58" s="790">
        <f>SUMPRODUCT(AK6:AK57,D6:D57)/100</f>
        <v>0.14944536882972825</v>
      </c>
      <c r="AL58" s="790">
        <f>SUMPRODUCT(AL6:AL57,D6:D57)/100</f>
        <v>0.1564235533370309</v>
      </c>
      <c r="AM58" s="790">
        <f>SUMPRODUCT(AM6:AM57,D6:D57)/100</f>
        <v>0.20464180070253285</v>
      </c>
      <c r="AN58" s="790">
        <f>SUMPRODUCT(AN6:AN57,D6:D57)/100</f>
        <v>0.22684784618228881</v>
      </c>
      <c r="AO58" s="790">
        <f>SUMPRODUCT(AO6:AO57,D6:D57)/100</f>
        <v>0.19561517840635978</v>
      </c>
      <c r="AP58" s="790">
        <f>SUMPRODUCT(AP6:AP57,D6:D57)/100</f>
        <v>0.21232344241079684</v>
      </c>
      <c r="AQ58" s="790">
        <f>SUMPRODUCT(AQ6:AQ57,D6:D57)/100</f>
        <v>0.22248474764281753</v>
      </c>
      <c r="AR58" s="790">
        <f>SUMPRODUCT(AR6:AR57,D6:D57)/100</f>
        <v>0.22306156405990016</v>
      </c>
      <c r="AS58" s="790">
        <f>SUMPRODUCT(AS6:AS57,D6:D57)/100</f>
        <v>0.20112035496394898</v>
      </c>
      <c r="AT58" s="790">
        <f>SUMPRODUCT(AT6:AT57,D6:D57)/100</f>
        <v>0.19938990571270107</v>
      </c>
      <c r="AU58" s="790">
        <f>SUMPRODUCT(AU6:AU57,D6:D57)/100</f>
        <v>1</v>
      </c>
      <c r="AV58" s="790">
        <f t="shared" ref="AV58:BE58" si="8">SUMPRODUCT(AV6:AV57,$D6:$D57)/100</f>
        <v>1</v>
      </c>
      <c r="AW58" s="790">
        <f t="shared" si="8"/>
        <v>1</v>
      </c>
      <c r="AX58" s="790">
        <f t="shared" si="8"/>
        <v>1</v>
      </c>
      <c r="AY58" s="790">
        <f t="shared" si="8"/>
        <v>1</v>
      </c>
      <c r="AZ58" s="790">
        <f t="shared" si="8"/>
        <v>1</v>
      </c>
      <c r="BA58" s="790">
        <f t="shared" si="8"/>
        <v>1</v>
      </c>
      <c r="BB58" s="790">
        <f t="shared" si="8"/>
        <v>1</v>
      </c>
      <c r="BC58" s="790">
        <f t="shared" si="8"/>
        <v>1</v>
      </c>
      <c r="BD58" s="790">
        <f t="shared" si="8"/>
        <v>1</v>
      </c>
      <c r="BE58" s="791">
        <f t="shared" si="8"/>
        <v>1</v>
      </c>
    </row>
    <row r="59" spans="1:57" ht="45.95" customHeight="1" thickBot="1">
      <c r="A59" s="792"/>
      <c r="B59" s="793" t="s">
        <v>537</v>
      </c>
      <c r="C59" s="794"/>
      <c r="D59" s="794"/>
      <c r="E59" s="795"/>
      <c r="F59" s="794"/>
      <c r="G59" s="794"/>
      <c r="H59" s="794"/>
      <c r="I59" s="794"/>
      <c r="J59" s="794"/>
      <c r="K59" s="794"/>
      <c r="L59" s="794"/>
      <c r="M59" s="794"/>
      <c r="N59" s="794"/>
      <c r="O59" s="794"/>
      <c r="P59" s="794"/>
      <c r="Q59" s="794"/>
      <c r="R59" s="794"/>
      <c r="S59" s="794"/>
      <c r="T59" s="794"/>
      <c r="U59" s="794"/>
      <c r="V59" s="794"/>
      <c r="W59" s="794"/>
      <c r="X59" s="794"/>
      <c r="Y59" s="794"/>
      <c r="Z59" s="794"/>
      <c r="AA59" s="794"/>
      <c r="AB59" s="794"/>
      <c r="AC59" s="794"/>
      <c r="AD59" s="794"/>
      <c r="AE59" s="794"/>
      <c r="AF59" s="794"/>
      <c r="AG59" s="794"/>
      <c r="AH59" s="794"/>
      <c r="AI59" s="794"/>
      <c r="AJ59" s="794"/>
      <c r="AK59" s="794"/>
      <c r="AL59" s="794"/>
      <c r="AM59" s="794"/>
      <c r="AN59" s="794"/>
      <c r="AO59" s="794"/>
      <c r="AP59" s="794"/>
      <c r="AQ59" s="794"/>
      <c r="AR59" s="794"/>
      <c r="AS59" s="794"/>
      <c r="AT59" s="794"/>
      <c r="AU59" s="794"/>
      <c r="AV59" s="794"/>
      <c r="AW59" s="794"/>
      <c r="AX59" s="794"/>
      <c r="AY59" s="794"/>
      <c r="AZ59" s="794"/>
      <c r="BA59" s="794"/>
      <c r="BB59" s="794"/>
      <c r="BC59" s="794"/>
      <c r="BD59" s="794"/>
      <c r="BE59" s="796"/>
    </row>
    <row r="60" spans="1:57" ht="45.95" customHeight="1">
      <c r="A60" s="716"/>
      <c r="B60" s="716"/>
      <c r="C60" s="716"/>
      <c r="D60" s="716"/>
      <c r="E60" s="716"/>
      <c r="F60" s="716"/>
      <c r="G60" s="716"/>
      <c r="H60" s="716"/>
      <c r="I60" s="716"/>
      <c r="J60" s="716"/>
      <c r="K60" s="716"/>
      <c r="L60" s="716"/>
      <c r="M60" s="716"/>
      <c r="N60" s="716"/>
      <c r="O60" s="716"/>
      <c r="P60" s="716"/>
      <c r="Q60" s="716"/>
      <c r="R60" s="716"/>
      <c r="S60" s="716"/>
      <c r="T60" s="716"/>
      <c r="U60" s="716"/>
      <c r="V60" s="716"/>
      <c r="W60" s="716"/>
      <c r="X60" s="716"/>
      <c r="Y60" s="716"/>
      <c r="Z60" s="716"/>
      <c r="AA60" s="716"/>
      <c r="AB60" s="716"/>
      <c r="AC60" s="716"/>
      <c r="AD60" s="716"/>
      <c r="AE60" s="716"/>
      <c r="AF60" s="716"/>
      <c r="AG60" s="717"/>
      <c r="AH60" s="717"/>
      <c r="AI60" s="717"/>
      <c r="AJ60" s="717"/>
      <c r="AK60" s="717"/>
      <c r="AL60" s="717"/>
      <c r="AM60" s="717"/>
      <c r="AN60" s="717"/>
      <c r="AO60" s="717"/>
      <c r="AP60" s="717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1:57" ht="45.95" customHeight="1">
      <c r="A61" s="2434" t="s">
        <v>492</v>
      </c>
      <c r="B61" s="2435"/>
      <c r="C61" s="2435"/>
      <c r="D61" s="2435"/>
      <c r="E61" s="2435"/>
      <c r="F61" s="2435"/>
      <c r="G61" s="2435"/>
      <c r="H61" s="2435"/>
      <c r="I61" s="2435"/>
      <c r="J61" s="2435"/>
      <c r="K61" s="2435"/>
      <c r="L61" s="2435"/>
      <c r="M61" s="2435"/>
      <c r="N61" s="2435"/>
      <c r="O61" s="2435"/>
      <c r="P61" s="2435"/>
      <c r="Q61" s="2435"/>
      <c r="R61" s="2435"/>
      <c r="S61" s="2435"/>
      <c r="T61" s="2435"/>
      <c r="U61" s="2435"/>
      <c r="V61" s="2435"/>
      <c r="W61" s="2435"/>
      <c r="X61" s="2435"/>
      <c r="Y61" s="2435"/>
      <c r="Z61" s="2435"/>
      <c r="AA61" s="2435"/>
      <c r="AB61" s="2435"/>
      <c r="AC61" s="2435"/>
      <c r="AD61" s="2435"/>
      <c r="AE61" s="2435"/>
      <c r="AF61" s="2435"/>
      <c r="AG61" s="2435"/>
      <c r="AH61" s="2435"/>
      <c r="AI61" s="2435"/>
      <c r="AJ61" s="2435"/>
      <c r="AK61" s="2435"/>
      <c r="AL61" s="2435"/>
      <c r="AM61" s="2435"/>
      <c r="AN61" s="2435"/>
      <c r="AO61" s="2435"/>
      <c r="AP61" s="2435"/>
      <c r="AQ61" s="2435"/>
      <c r="AR61" s="2435"/>
      <c r="AS61" s="2435"/>
      <c r="AT61" s="2435"/>
      <c r="AU61" s="2435"/>
      <c r="AV61" s="2435"/>
      <c r="AW61" s="2435"/>
      <c r="AX61" s="2435"/>
      <c r="AY61" s="2435"/>
      <c r="AZ61" s="2435"/>
      <c r="BA61" s="2435"/>
      <c r="BB61" s="2435"/>
      <c r="BC61" s="2435"/>
      <c r="BD61" s="2435"/>
      <c r="BE61" s="2436"/>
    </row>
    <row r="62" spans="1:57" ht="74.099999999999994" customHeight="1">
      <c r="A62" s="718" t="s">
        <v>455</v>
      </c>
      <c r="B62" s="719" t="s">
        <v>188</v>
      </c>
      <c r="C62" s="720" t="s">
        <v>493</v>
      </c>
      <c r="D62" s="720" t="s">
        <v>494</v>
      </c>
      <c r="E62" s="721" t="s">
        <v>495</v>
      </c>
      <c r="F62" s="720">
        <v>43831</v>
      </c>
      <c r="G62" s="720">
        <f t="shared" ref="G62:AL62" si="9">+F62+1</f>
        <v>43832</v>
      </c>
      <c r="H62" s="720">
        <f t="shared" si="9"/>
        <v>43833</v>
      </c>
      <c r="I62" s="720">
        <f t="shared" si="9"/>
        <v>43834</v>
      </c>
      <c r="J62" s="720">
        <f t="shared" si="9"/>
        <v>43835</v>
      </c>
      <c r="K62" s="720">
        <f t="shared" si="9"/>
        <v>43836</v>
      </c>
      <c r="L62" s="720">
        <f t="shared" si="9"/>
        <v>43837</v>
      </c>
      <c r="M62" s="720">
        <f t="shared" si="9"/>
        <v>43838</v>
      </c>
      <c r="N62" s="720">
        <f t="shared" si="9"/>
        <v>43839</v>
      </c>
      <c r="O62" s="720">
        <f t="shared" si="9"/>
        <v>43840</v>
      </c>
      <c r="P62" s="720">
        <f t="shared" si="9"/>
        <v>43841</v>
      </c>
      <c r="Q62" s="720">
        <f t="shared" si="9"/>
        <v>43842</v>
      </c>
      <c r="R62" s="720">
        <f t="shared" si="9"/>
        <v>43843</v>
      </c>
      <c r="S62" s="720">
        <f t="shared" si="9"/>
        <v>43844</v>
      </c>
      <c r="T62" s="720">
        <f t="shared" si="9"/>
        <v>43845</v>
      </c>
      <c r="U62" s="720">
        <f t="shared" si="9"/>
        <v>43846</v>
      </c>
      <c r="V62" s="720">
        <f t="shared" si="9"/>
        <v>43847</v>
      </c>
      <c r="W62" s="720">
        <f t="shared" si="9"/>
        <v>43848</v>
      </c>
      <c r="X62" s="720">
        <f t="shared" si="9"/>
        <v>43849</v>
      </c>
      <c r="Y62" s="720">
        <f t="shared" si="9"/>
        <v>43850</v>
      </c>
      <c r="Z62" s="720">
        <f t="shared" si="9"/>
        <v>43851</v>
      </c>
      <c r="AA62" s="720">
        <f t="shared" si="9"/>
        <v>43852</v>
      </c>
      <c r="AB62" s="720">
        <f t="shared" si="9"/>
        <v>43853</v>
      </c>
      <c r="AC62" s="720">
        <f t="shared" si="9"/>
        <v>43854</v>
      </c>
      <c r="AD62" s="720">
        <f t="shared" si="9"/>
        <v>43855</v>
      </c>
      <c r="AE62" s="720">
        <f t="shared" si="9"/>
        <v>43856</v>
      </c>
      <c r="AF62" s="720">
        <f t="shared" si="9"/>
        <v>43857</v>
      </c>
      <c r="AG62" s="720">
        <f t="shared" si="9"/>
        <v>43858</v>
      </c>
      <c r="AH62" s="720">
        <f t="shared" si="9"/>
        <v>43859</v>
      </c>
      <c r="AI62" s="720">
        <f t="shared" si="9"/>
        <v>43860</v>
      </c>
      <c r="AJ62" s="720">
        <f t="shared" si="9"/>
        <v>43861</v>
      </c>
      <c r="AK62" s="720">
        <f t="shared" si="9"/>
        <v>43862</v>
      </c>
      <c r="AL62" s="720">
        <f t="shared" si="9"/>
        <v>43863</v>
      </c>
      <c r="AM62" s="720">
        <f t="shared" ref="AM62:BE62" si="10">+AL62+1</f>
        <v>43864</v>
      </c>
      <c r="AN62" s="720">
        <f t="shared" si="10"/>
        <v>43865</v>
      </c>
      <c r="AO62" s="720">
        <f t="shared" si="10"/>
        <v>43866</v>
      </c>
      <c r="AP62" s="720">
        <f t="shared" si="10"/>
        <v>43867</v>
      </c>
      <c r="AQ62" s="720">
        <f t="shared" si="10"/>
        <v>43868</v>
      </c>
      <c r="AR62" s="720">
        <f t="shared" si="10"/>
        <v>43869</v>
      </c>
      <c r="AS62" s="720">
        <f t="shared" si="10"/>
        <v>43870</v>
      </c>
      <c r="AT62" s="720">
        <f t="shared" si="10"/>
        <v>43871</v>
      </c>
      <c r="AU62" s="720">
        <f t="shared" si="10"/>
        <v>43872</v>
      </c>
      <c r="AV62" s="720">
        <f t="shared" si="10"/>
        <v>43873</v>
      </c>
      <c r="AW62" s="720">
        <f t="shared" si="10"/>
        <v>43874</v>
      </c>
      <c r="AX62" s="720">
        <f t="shared" si="10"/>
        <v>43875</v>
      </c>
      <c r="AY62" s="720">
        <f t="shared" si="10"/>
        <v>43876</v>
      </c>
      <c r="AZ62" s="720">
        <f t="shared" si="10"/>
        <v>43877</v>
      </c>
      <c r="BA62" s="720">
        <f t="shared" si="10"/>
        <v>43878</v>
      </c>
      <c r="BB62" s="720">
        <f t="shared" si="10"/>
        <v>43879</v>
      </c>
      <c r="BC62" s="720">
        <f t="shared" si="10"/>
        <v>43880</v>
      </c>
      <c r="BD62" s="720">
        <f t="shared" si="10"/>
        <v>43881</v>
      </c>
      <c r="BE62" s="720">
        <f t="shared" si="10"/>
        <v>43882</v>
      </c>
    </row>
    <row r="63" spans="1:57">
      <c r="A63" s="718"/>
      <c r="B63" s="722" t="s">
        <v>496</v>
      </c>
      <c r="C63" s="723"/>
      <c r="D63" s="723"/>
      <c r="E63" s="724"/>
      <c r="F63" s="723">
        <v>1</v>
      </c>
      <c r="G63" s="723">
        <f t="shared" ref="G63:AL63" si="11">F63+1</f>
        <v>2</v>
      </c>
      <c r="H63" s="723">
        <f t="shared" si="11"/>
        <v>3</v>
      </c>
      <c r="I63" s="723">
        <f t="shared" si="11"/>
        <v>4</v>
      </c>
      <c r="J63" s="723">
        <f t="shared" si="11"/>
        <v>5</v>
      </c>
      <c r="K63" s="723">
        <f t="shared" si="11"/>
        <v>6</v>
      </c>
      <c r="L63" s="723">
        <f t="shared" si="11"/>
        <v>7</v>
      </c>
      <c r="M63" s="723">
        <f t="shared" si="11"/>
        <v>8</v>
      </c>
      <c r="N63" s="723">
        <f t="shared" si="11"/>
        <v>9</v>
      </c>
      <c r="O63" s="723">
        <f t="shared" si="11"/>
        <v>10</v>
      </c>
      <c r="P63" s="723">
        <f t="shared" si="11"/>
        <v>11</v>
      </c>
      <c r="Q63" s="723">
        <f t="shared" si="11"/>
        <v>12</v>
      </c>
      <c r="R63" s="723">
        <f t="shared" si="11"/>
        <v>13</v>
      </c>
      <c r="S63" s="723">
        <f t="shared" si="11"/>
        <v>14</v>
      </c>
      <c r="T63" s="723">
        <f t="shared" si="11"/>
        <v>15</v>
      </c>
      <c r="U63" s="723">
        <f t="shared" si="11"/>
        <v>16</v>
      </c>
      <c r="V63" s="723">
        <f t="shared" si="11"/>
        <v>17</v>
      </c>
      <c r="W63" s="723">
        <f t="shared" si="11"/>
        <v>18</v>
      </c>
      <c r="X63" s="723">
        <f t="shared" si="11"/>
        <v>19</v>
      </c>
      <c r="Y63" s="723">
        <f t="shared" si="11"/>
        <v>20</v>
      </c>
      <c r="Z63" s="723">
        <f t="shared" si="11"/>
        <v>21</v>
      </c>
      <c r="AA63" s="723">
        <f t="shared" si="11"/>
        <v>22</v>
      </c>
      <c r="AB63" s="723">
        <f t="shared" si="11"/>
        <v>23</v>
      </c>
      <c r="AC63" s="723">
        <f t="shared" si="11"/>
        <v>24</v>
      </c>
      <c r="AD63" s="723">
        <f t="shared" si="11"/>
        <v>25</v>
      </c>
      <c r="AE63" s="723">
        <f t="shared" si="11"/>
        <v>26</v>
      </c>
      <c r="AF63" s="723">
        <f t="shared" si="11"/>
        <v>27</v>
      </c>
      <c r="AG63" s="723">
        <f t="shared" si="11"/>
        <v>28</v>
      </c>
      <c r="AH63" s="723">
        <f t="shared" si="11"/>
        <v>29</v>
      </c>
      <c r="AI63" s="723">
        <f t="shared" si="11"/>
        <v>30</v>
      </c>
      <c r="AJ63" s="723">
        <f t="shared" si="11"/>
        <v>31</v>
      </c>
      <c r="AK63" s="723">
        <f t="shared" si="11"/>
        <v>32</v>
      </c>
      <c r="AL63" s="723">
        <f t="shared" si="11"/>
        <v>33</v>
      </c>
      <c r="AM63" s="723">
        <f t="shared" ref="AM63:BE63" si="12">AL63+1</f>
        <v>34</v>
      </c>
      <c r="AN63" s="723">
        <f t="shared" si="12"/>
        <v>35</v>
      </c>
      <c r="AO63" s="723">
        <f t="shared" si="12"/>
        <v>36</v>
      </c>
      <c r="AP63" s="723">
        <f t="shared" si="12"/>
        <v>37</v>
      </c>
      <c r="AQ63" s="723">
        <f t="shared" si="12"/>
        <v>38</v>
      </c>
      <c r="AR63" s="723">
        <f t="shared" si="12"/>
        <v>39</v>
      </c>
      <c r="AS63" s="723">
        <f t="shared" si="12"/>
        <v>40</v>
      </c>
      <c r="AT63" s="723">
        <f t="shared" si="12"/>
        <v>41</v>
      </c>
      <c r="AU63" s="723">
        <f t="shared" si="12"/>
        <v>42</v>
      </c>
      <c r="AV63" s="723">
        <f t="shared" si="12"/>
        <v>43</v>
      </c>
      <c r="AW63" s="723">
        <f t="shared" si="12"/>
        <v>44</v>
      </c>
      <c r="AX63" s="723">
        <f t="shared" si="12"/>
        <v>45</v>
      </c>
      <c r="AY63" s="723">
        <f t="shared" si="12"/>
        <v>46</v>
      </c>
      <c r="AZ63" s="723">
        <f t="shared" si="12"/>
        <v>47</v>
      </c>
      <c r="BA63" s="723">
        <f t="shared" si="12"/>
        <v>48</v>
      </c>
      <c r="BB63" s="723">
        <f t="shared" si="12"/>
        <v>49</v>
      </c>
      <c r="BC63" s="723">
        <f t="shared" si="12"/>
        <v>50</v>
      </c>
      <c r="BD63" s="723">
        <f t="shared" si="12"/>
        <v>51</v>
      </c>
      <c r="BE63" s="723">
        <f t="shared" si="12"/>
        <v>52</v>
      </c>
    </row>
    <row r="64" spans="1:57" ht="45.95" customHeight="1">
      <c r="A64" s="725"/>
      <c r="B64" s="726" t="s">
        <v>497</v>
      </c>
      <c r="C64" s="727"/>
      <c r="D64" s="727"/>
      <c r="E64" s="727"/>
      <c r="F64" s="728"/>
      <c r="G64" s="727"/>
      <c r="H64" s="727"/>
      <c r="I64" s="727"/>
      <c r="J64" s="727"/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27"/>
      <c r="AB64" s="727"/>
      <c r="AC64" s="727"/>
      <c r="AD64" s="727"/>
      <c r="AE64" s="727"/>
      <c r="AF64" s="727"/>
      <c r="AG64" s="727"/>
      <c r="AH64" s="727"/>
      <c r="AI64" s="727"/>
      <c r="AJ64" s="727"/>
      <c r="AK64" s="727"/>
      <c r="AL64" s="727"/>
      <c r="AM64" s="727"/>
      <c r="AN64" s="727"/>
      <c r="AO64" s="727"/>
      <c r="AP64" s="727"/>
      <c r="AQ64" s="727"/>
      <c r="AR64" s="727"/>
      <c r="AS64" s="727"/>
      <c r="AT64" s="727"/>
      <c r="AU64" s="727"/>
      <c r="AV64" s="727"/>
      <c r="AW64" s="727"/>
      <c r="AX64" s="727"/>
      <c r="AY64" s="727"/>
      <c r="AZ64" s="727"/>
      <c r="BA64" s="727"/>
      <c r="BB64" s="727"/>
      <c r="BC64" s="727"/>
      <c r="BD64" s="727"/>
      <c r="BE64" s="727"/>
    </row>
    <row r="65" spans="1:57" ht="45.95" customHeight="1">
      <c r="A65" s="725" t="s">
        <v>456</v>
      </c>
      <c r="B65" s="729" t="s">
        <v>498</v>
      </c>
      <c r="C65" s="730">
        <v>86</v>
      </c>
      <c r="D65" s="731">
        <f>C65/$C$104</f>
        <v>3.3765213977228113E-2</v>
      </c>
      <c r="E65" s="732">
        <v>50</v>
      </c>
      <c r="F65" s="733">
        <v>50</v>
      </c>
      <c r="G65" s="733">
        <v>75</v>
      </c>
      <c r="H65" s="733">
        <v>100</v>
      </c>
      <c r="I65" s="727">
        <v>100</v>
      </c>
      <c r="J65" s="727">
        <v>100</v>
      </c>
      <c r="K65" s="727">
        <v>100</v>
      </c>
      <c r="L65" s="727">
        <v>100</v>
      </c>
      <c r="M65" s="727">
        <v>100</v>
      </c>
      <c r="N65" s="727">
        <v>100</v>
      </c>
      <c r="O65" s="727">
        <v>100</v>
      </c>
      <c r="P65" s="727">
        <v>100</v>
      </c>
      <c r="Q65" s="727">
        <v>100</v>
      </c>
      <c r="R65" s="727">
        <v>100</v>
      </c>
      <c r="S65" s="727">
        <v>100</v>
      </c>
      <c r="T65" s="727">
        <v>100</v>
      </c>
      <c r="U65" s="727">
        <v>100</v>
      </c>
      <c r="V65" s="727">
        <v>100</v>
      </c>
      <c r="W65" s="727">
        <v>100</v>
      </c>
      <c r="X65" s="727">
        <v>100</v>
      </c>
      <c r="Y65" s="727">
        <v>100</v>
      </c>
      <c r="Z65" s="727">
        <v>100</v>
      </c>
      <c r="AA65" s="727">
        <v>100</v>
      </c>
      <c r="AB65" s="727">
        <v>100</v>
      </c>
      <c r="AC65" s="727">
        <v>100</v>
      </c>
      <c r="AD65" s="727">
        <v>100</v>
      </c>
      <c r="AE65" s="727">
        <v>100</v>
      </c>
      <c r="AF65" s="727">
        <v>100</v>
      </c>
      <c r="AG65" s="727">
        <v>100</v>
      </c>
      <c r="AH65" s="727">
        <v>100</v>
      </c>
      <c r="AI65" s="727">
        <v>100</v>
      </c>
      <c r="AJ65" s="727">
        <v>100</v>
      </c>
      <c r="AK65" s="727">
        <v>100</v>
      </c>
      <c r="AL65" s="727">
        <v>100</v>
      </c>
      <c r="AM65" s="727">
        <v>100</v>
      </c>
      <c r="AN65" s="727">
        <v>100</v>
      </c>
      <c r="AO65" s="727">
        <v>100</v>
      </c>
      <c r="AP65" s="727">
        <v>100</v>
      </c>
      <c r="AQ65" s="727">
        <v>100</v>
      </c>
      <c r="AR65" s="727">
        <v>100</v>
      </c>
      <c r="AS65" s="727">
        <v>100</v>
      </c>
      <c r="AT65" s="727">
        <v>100</v>
      </c>
      <c r="AU65" s="727">
        <v>100</v>
      </c>
      <c r="AV65" s="727">
        <v>100</v>
      </c>
      <c r="AW65" s="727">
        <v>100</v>
      </c>
      <c r="AX65" s="727">
        <v>100</v>
      </c>
      <c r="AY65" s="727">
        <v>100</v>
      </c>
      <c r="AZ65" s="727">
        <v>100</v>
      </c>
      <c r="BA65" s="727">
        <v>100</v>
      </c>
      <c r="BB65" s="727">
        <v>100</v>
      </c>
      <c r="BC65" s="727">
        <v>100</v>
      </c>
      <c r="BD65" s="727">
        <v>100</v>
      </c>
      <c r="BE65" s="727">
        <v>100</v>
      </c>
    </row>
    <row r="66" spans="1:57" ht="45.95" customHeight="1">
      <c r="A66" s="725" t="s">
        <v>405</v>
      </c>
      <c r="B66" s="729" t="s">
        <v>499</v>
      </c>
      <c r="C66" s="730">
        <v>16</v>
      </c>
      <c r="D66" s="731">
        <f>C66/$C$104</f>
        <v>6.2819002748331371E-3</v>
      </c>
      <c r="E66" s="732"/>
      <c r="F66" s="728"/>
      <c r="G66" s="728"/>
      <c r="H66" s="733">
        <v>100</v>
      </c>
      <c r="I66" s="727">
        <v>100</v>
      </c>
      <c r="J66" s="727">
        <v>100</v>
      </c>
      <c r="K66" s="727">
        <v>100</v>
      </c>
      <c r="L66" s="727">
        <v>100</v>
      </c>
      <c r="M66" s="727">
        <v>100</v>
      </c>
      <c r="N66" s="727">
        <v>100</v>
      </c>
      <c r="O66" s="727">
        <v>100</v>
      </c>
      <c r="P66" s="727">
        <v>100</v>
      </c>
      <c r="Q66" s="727">
        <v>100</v>
      </c>
      <c r="R66" s="727">
        <v>100</v>
      </c>
      <c r="S66" s="727">
        <v>100</v>
      </c>
      <c r="T66" s="727">
        <v>100</v>
      </c>
      <c r="U66" s="727">
        <v>100</v>
      </c>
      <c r="V66" s="727">
        <v>100</v>
      </c>
      <c r="W66" s="727">
        <v>100</v>
      </c>
      <c r="X66" s="727">
        <v>100</v>
      </c>
      <c r="Y66" s="727">
        <v>100</v>
      </c>
      <c r="Z66" s="727">
        <v>100</v>
      </c>
      <c r="AA66" s="727">
        <v>100</v>
      </c>
      <c r="AB66" s="727">
        <v>100</v>
      </c>
      <c r="AC66" s="727">
        <v>100</v>
      </c>
      <c r="AD66" s="727">
        <v>100</v>
      </c>
      <c r="AE66" s="727">
        <v>100</v>
      </c>
      <c r="AF66" s="727">
        <v>100</v>
      </c>
      <c r="AG66" s="727">
        <v>100</v>
      </c>
      <c r="AH66" s="727">
        <v>100</v>
      </c>
      <c r="AI66" s="727">
        <v>100</v>
      </c>
      <c r="AJ66" s="727">
        <v>100</v>
      </c>
      <c r="AK66" s="727">
        <v>100</v>
      </c>
      <c r="AL66" s="727">
        <v>100</v>
      </c>
      <c r="AM66" s="727">
        <v>100</v>
      </c>
      <c r="AN66" s="727">
        <v>100</v>
      </c>
      <c r="AO66" s="727">
        <v>100</v>
      </c>
      <c r="AP66" s="727">
        <v>100</v>
      </c>
      <c r="AQ66" s="727">
        <v>100</v>
      </c>
      <c r="AR66" s="727">
        <v>100</v>
      </c>
      <c r="AS66" s="727">
        <v>100</v>
      </c>
      <c r="AT66" s="727">
        <v>100</v>
      </c>
      <c r="AU66" s="727">
        <v>100</v>
      </c>
      <c r="AV66" s="727">
        <v>100</v>
      </c>
      <c r="AW66" s="727">
        <v>100</v>
      </c>
      <c r="AX66" s="727">
        <v>100</v>
      </c>
      <c r="AY66" s="727">
        <v>100</v>
      </c>
      <c r="AZ66" s="727">
        <v>100</v>
      </c>
      <c r="BA66" s="727">
        <v>100</v>
      </c>
      <c r="BB66" s="727">
        <v>100</v>
      </c>
      <c r="BC66" s="727">
        <v>100</v>
      </c>
      <c r="BD66" s="727">
        <v>100</v>
      </c>
      <c r="BE66" s="727">
        <v>100</v>
      </c>
    </row>
    <row r="67" spans="1:57" ht="45.95" customHeight="1">
      <c r="A67" s="725"/>
      <c r="B67" s="734" t="s">
        <v>500</v>
      </c>
      <c r="C67" s="728"/>
      <c r="D67" s="728"/>
      <c r="E67" s="735"/>
      <c r="F67" s="728"/>
      <c r="G67" s="728"/>
      <c r="H67" s="728"/>
      <c r="I67" s="728"/>
      <c r="J67" s="728"/>
      <c r="K67" s="728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8"/>
      <c r="X67" s="728"/>
      <c r="Y67" s="728"/>
      <c r="Z67" s="728"/>
      <c r="AA67" s="728"/>
      <c r="AB67" s="728"/>
      <c r="AC67" s="728"/>
      <c r="AD67" s="728"/>
      <c r="AE67" s="728"/>
      <c r="AF67" s="728"/>
      <c r="AG67" s="728"/>
      <c r="AH67" s="728"/>
      <c r="AI67" s="728"/>
      <c r="AJ67" s="728"/>
      <c r="AK67" s="728"/>
      <c r="AL67" s="728"/>
      <c r="AM67" s="728"/>
      <c r="AN67" s="728"/>
      <c r="AO67" s="728"/>
      <c r="AP67" s="728"/>
      <c r="AQ67" s="728"/>
      <c r="AR67" s="728"/>
      <c r="AS67" s="728"/>
      <c r="AT67" s="728"/>
      <c r="AU67" s="727"/>
      <c r="AV67" s="727"/>
      <c r="AW67" s="727"/>
      <c r="AX67" s="727"/>
      <c r="AY67" s="727"/>
      <c r="AZ67" s="727"/>
      <c r="BA67" s="727"/>
      <c r="BB67" s="727"/>
      <c r="BC67" s="727"/>
      <c r="BD67" s="727"/>
      <c r="BE67" s="727"/>
    </row>
    <row r="68" spans="1:57" ht="45.95" customHeight="1">
      <c r="A68" s="725" t="s">
        <v>406</v>
      </c>
      <c r="B68" s="729" t="s">
        <v>501</v>
      </c>
      <c r="C68" s="736">
        <v>56</v>
      </c>
      <c r="D68" s="731">
        <f>C68/$C$104</f>
        <v>2.1986650961915981E-2</v>
      </c>
      <c r="E68" s="737"/>
      <c r="F68" s="733">
        <v>100</v>
      </c>
      <c r="G68" s="727">
        <v>100</v>
      </c>
      <c r="H68" s="727">
        <v>100</v>
      </c>
      <c r="I68" s="727">
        <v>100</v>
      </c>
      <c r="J68" s="727">
        <v>100</v>
      </c>
      <c r="K68" s="727">
        <v>100</v>
      </c>
      <c r="L68" s="727">
        <v>100</v>
      </c>
      <c r="M68" s="727">
        <v>100</v>
      </c>
      <c r="N68" s="727">
        <v>100</v>
      </c>
      <c r="O68" s="727">
        <v>100</v>
      </c>
      <c r="P68" s="727">
        <v>100</v>
      </c>
      <c r="Q68" s="727">
        <v>100</v>
      </c>
      <c r="R68" s="727">
        <v>100</v>
      </c>
      <c r="S68" s="727">
        <v>100</v>
      </c>
      <c r="T68" s="727">
        <v>100</v>
      </c>
      <c r="U68" s="727">
        <v>100</v>
      </c>
      <c r="V68" s="727">
        <v>100</v>
      </c>
      <c r="W68" s="727">
        <v>100</v>
      </c>
      <c r="X68" s="727">
        <v>100</v>
      </c>
      <c r="Y68" s="727">
        <v>100</v>
      </c>
      <c r="Z68" s="727">
        <v>100</v>
      </c>
      <c r="AA68" s="727">
        <v>100</v>
      </c>
      <c r="AB68" s="727">
        <v>100</v>
      </c>
      <c r="AC68" s="727">
        <v>100</v>
      </c>
      <c r="AD68" s="727">
        <v>100</v>
      </c>
      <c r="AE68" s="727">
        <v>100</v>
      </c>
      <c r="AF68" s="727">
        <v>100</v>
      </c>
      <c r="AG68" s="727">
        <v>100</v>
      </c>
      <c r="AH68" s="727">
        <v>100</v>
      </c>
      <c r="AI68" s="727">
        <v>100</v>
      </c>
      <c r="AJ68" s="727">
        <v>100</v>
      </c>
      <c r="AK68" s="727">
        <v>100</v>
      </c>
      <c r="AL68" s="727">
        <v>100</v>
      </c>
      <c r="AM68" s="727">
        <v>100</v>
      </c>
      <c r="AN68" s="727">
        <v>100</v>
      </c>
      <c r="AO68" s="727">
        <v>100</v>
      </c>
      <c r="AP68" s="727">
        <v>100</v>
      </c>
      <c r="AQ68" s="727">
        <v>100</v>
      </c>
      <c r="AR68" s="727">
        <v>100</v>
      </c>
      <c r="AS68" s="727">
        <v>100</v>
      </c>
      <c r="AT68" s="727">
        <v>100</v>
      </c>
      <c r="AU68" s="727">
        <v>100</v>
      </c>
      <c r="AV68" s="727">
        <v>100</v>
      </c>
      <c r="AW68" s="727">
        <v>100</v>
      </c>
      <c r="AX68" s="727">
        <v>100</v>
      </c>
      <c r="AY68" s="727">
        <v>100</v>
      </c>
      <c r="AZ68" s="727">
        <v>100</v>
      </c>
      <c r="BA68" s="727">
        <v>100</v>
      </c>
      <c r="BB68" s="727">
        <v>100</v>
      </c>
      <c r="BC68" s="727">
        <v>100</v>
      </c>
      <c r="BD68" s="727">
        <v>100</v>
      </c>
      <c r="BE68" s="727">
        <v>100</v>
      </c>
    </row>
    <row r="69" spans="1:57" ht="45.95" customHeight="1">
      <c r="A69" s="725"/>
      <c r="B69" s="734" t="s">
        <v>502</v>
      </c>
      <c r="C69" s="728"/>
      <c r="D69" s="738"/>
      <c r="E69" s="735"/>
      <c r="F69" s="728"/>
      <c r="G69" s="728"/>
      <c r="H69" s="728"/>
      <c r="I69" s="728"/>
      <c r="J69" s="728"/>
      <c r="K69" s="728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8"/>
      <c r="X69" s="728"/>
      <c r="Y69" s="728"/>
      <c r="Z69" s="728"/>
      <c r="AA69" s="728"/>
      <c r="AB69" s="728"/>
      <c r="AC69" s="728"/>
      <c r="AD69" s="728"/>
      <c r="AE69" s="728"/>
      <c r="AF69" s="728"/>
      <c r="AG69" s="728"/>
      <c r="AH69" s="728"/>
      <c r="AI69" s="728"/>
      <c r="AJ69" s="728"/>
      <c r="AK69" s="728"/>
      <c r="AL69" s="728"/>
      <c r="AM69" s="728"/>
      <c r="AN69" s="728"/>
      <c r="AO69" s="728"/>
      <c r="AP69" s="728"/>
      <c r="AQ69" s="728"/>
      <c r="AR69" s="728"/>
      <c r="AS69" s="728"/>
      <c r="AT69" s="728"/>
      <c r="AU69" s="727"/>
      <c r="AV69" s="727"/>
      <c r="AW69" s="727"/>
      <c r="AX69" s="727"/>
      <c r="AY69" s="727"/>
      <c r="AZ69" s="727"/>
      <c r="BA69" s="727"/>
      <c r="BB69" s="727"/>
      <c r="BC69" s="727"/>
      <c r="BD69" s="727"/>
      <c r="BE69" s="727"/>
    </row>
    <row r="70" spans="1:57" ht="45.95" customHeight="1">
      <c r="A70" s="725" t="s">
        <v>457</v>
      </c>
      <c r="B70" s="729" t="s">
        <v>503</v>
      </c>
      <c r="C70" s="736">
        <v>88</v>
      </c>
      <c r="D70" s="731">
        <f>C70/$C$104</f>
        <v>3.4550451511582252E-2</v>
      </c>
      <c r="E70" s="737"/>
      <c r="F70" s="733">
        <v>75</v>
      </c>
      <c r="G70" s="733">
        <v>100</v>
      </c>
      <c r="H70" s="727">
        <v>100</v>
      </c>
      <c r="I70" s="727">
        <v>100</v>
      </c>
      <c r="J70" s="727">
        <v>100</v>
      </c>
      <c r="K70" s="727">
        <v>100</v>
      </c>
      <c r="L70" s="727">
        <v>100</v>
      </c>
      <c r="M70" s="727">
        <v>100</v>
      </c>
      <c r="N70" s="727">
        <v>100</v>
      </c>
      <c r="O70" s="727">
        <v>100</v>
      </c>
      <c r="P70" s="727">
        <v>100</v>
      </c>
      <c r="Q70" s="727">
        <v>100</v>
      </c>
      <c r="R70" s="727">
        <v>100</v>
      </c>
      <c r="S70" s="727">
        <v>100</v>
      </c>
      <c r="T70" s="727">
        <v>100</v>
      </c>
      <c r="U70" s="727">
        <v>100</v>
      </c>
      <c r="V70" s="727">
        <v>100</v>
      </c>
      <c r="W70" s="727">
        <v>100</v>
      </c>
      <c r="X70" s="727">
        <v>100</v>
      </c>
      <c r="Y70" s="727">
        <v>100</v>
      </c>
      <c r="Z70" s="727">
        <v>100</v>
      </c>
      <c r="AA70" s="727">
        <v>100</v>
      </c>
      <c r="AB70" s="727">
        <v>100</v>
      </c>
      <c r="AC70" s="727">
        <v>100</v>
      </c>
      <c r="AD70" s="727">
        <v>100</v>
      </c>
      <c r="AE70" s="727">
        <v>100</v>
      </c>
      <c r="AF70" s="727">
        <v>100</v>
      </c>
      <c r="AG70" s="727">
        <v>100</v>
      </c>
      <c r="AH70" s="727">
        <v>100</v>
      </c>
      <c r="AI70" s="727">
        <v>100</v>
      </c>
      <c r="AJ70" s="727">
        <v>100</v>
      </c>
      <c r="AK70" s="727">
        <v>100</v>
      </c>
      <c r="AL70" s="727">
        <v>100</v>
      </c>
      <c r="AM70" s="727">
        <v>100</v>
      </c>
      <c r="AN70" s="727">
        <v>100</v>
      </c>
      <c r="AO70" s="727">
        <v>100</v>
      </c>
      <c r="AP70" s="727">
        <v>100</v>
      </c>
      <c r="AQ70" s="727">
        <v>100</v>
      </c>
      <c r="AR70" s="727">
        <v>100</v>
      </c>
      <c r="AS70" s="727">
        <v>100</v>
      </c>
      <c r="AT70" s="727">
        <v>100</v>
      </c>
      <c r="AU70" s="727">
        <v>100</v>
      </c>
      <c r="AV70" s="727">
        <v>100</v>
      </c>
      <c r="AW70" s="727">
        <v>100</v>
      </c>
      <c r="AX70" s="727">
        <v>100</v>
      </c>
      <c r="AY70" s="727">
        <v>100</v>
      </c>
      <c r="AZ70" s="727">
        <v>100</v>
      </c>
      <c r="BA70" s="727">
        <v>100</v>
      </c>
      <c r="BB70" s="727">
        <v>100</v>
      </c>
      <c r="BC70" s="727">
        <v>100</v>
      </c>
      <c r="BD70" s="727">
        <v>100</v>
      </c>
      <c r="BE70" s="727">
        <v>100</v>
      </c>
    </row>
    <row r="71" spans="1:57" ht="45.95" customHeight="1">
      <c r="A71" s="718" t="s">
        <v>458</v>
      </c>
      <c r="B71" s="739" t="s">
        <v>504</v>
      </c>
      <c r="C71" s="736">
        <v>91</v>
      </c>
      <c r="D71" s="731">
        <f>C71/$C$104</f>
        <v>3.5728307813113466E-2</v>
      </c>
      <c r="E71" s="732"/>
      <c r="F71" s="728"/>
      <c r="G71" s="733">
        <v>50</v>
      </c>
      <c r="H71" s="733">
        <v>100</v>
      </c>
      <c r="I71" s="727">
        <v>100</v>
      </c>
      <c r="J71" s="727">
        <v>100</v>
      </c>
      <c r="K71" s="727">
        <v>100</v>
      </c>
      <c r="L71" s="727">
        <v>100</v>
      </c>
      <c r="M71" s="727">
        <v>100</v>
      </c>
      <c r="N71" s="727">
        <v>100</v>
      </c>
      <c r="O71" s="727">
        <v>100</v>
      </c>
      <c r="P71" s="727">
        <v>100</v>
      </c>
      <c r="Q71" s="727">
        <v>100</v>
      </c>
      <c r="R71" s="727">
        <v>100</v>
      </c>
      <c r="S71" s="727">
        <v>100</v>
      </c>
      <c r="T71" s="727">
        <v>100</v>
      </c>
      <c r="U71" s="727">
        <v>100</v>
      </c>
      <c r="V71" s="727">
        <v>100</v>
      </c>
      <c r="W71" s="727">
        <v>100</v>
      </c>
      <c r="X71" s="727">
        <v>100</v>
      </c>
      <c r="Y71" s="727">
        <v>100</v>
      </c>
      <c r="Z71" s="727">
        <v>100</v>
      </c>
      <c r="AA71" s="727">
        <v>100</v>
      </c>
      <c r="AB71" s="727">
        <v>100</v>
      </c>
      <c r="AC71" s="727">
        <v>100</v>
      </c>
      <c r="AD71" s="727">
        <v>100</v>
      </c>
      <c r="AE71" s="727">
        <v>100</v>
      </c>
      <c r="AF71" s="727">
        <v>100</v>
      </c>
      <c r="AG71" s="727">
        <v>100</v>
      </c>
      <c r="AH71" s="727">
        <v>100</v>
      </c>
      <c r="AI71" s="727">
        <v>100</v>
      </c>
      <c r="AJ71" s="727">
        <v>100</v>
      </c>
      <c r="AK71" s="727">
        <v>100</v>
      </c>
      <c r="AL71" s="727">
        <v>100</v>
      </c>
      <c r="AM71" s="727">
        <v>100</v>
      </c>
      <c r="AN71" s="727">
        <v>100</v>
      </c>
      <c r="AO71" s="727">
        <v>100</v>
      </c>
      <c r="AP71" s="727">
        <v>100</v>
      </c>
      <c r="AQ71" s="727">
        <v>100</v>
      </c>
      <c r="AR71" s="727">
        <v>100</v>
      </c>
      <c r="AS71" s="727">
        <v>100</v>
      </c>
      <c r="AT71" s="727">
        <v>100</v>
      </c>
      <c r="AU71" s="727">
        <v>100</v>
      </c>
      <c r="AV71" s="727">
        <v>100</v>
      </c>
      <c r="AW71" s="727">
        <v>100</v>
      </c>
      <c r="AX71" s="727">
        <v>100</v>
      </c>
      <c r="AY71" s="727">
        <v>100</v>
      </c>
      <c r="AZ71" s="727">
        <v>100</v>
      </c>
      <c r="BA71" s="727">
        <v>100</v>
      </c>
      <c r="BB71" s="727">
        <v>100</v>
      </c>
      <c r="BC71" s="727">
        <v>100</v>
      </c>
      <c r="BD71" s="727">
        <v>100</v>
      </c>
      <c r="BE71" s="727">
        <v>100</v>
      </c>
    </row>
    <row r="72" spans="1:57" ht="45.95" customHeight="1">
      <c r="A72" s="718" t="s">
        <v>460</v>
      </c>
      <c r="B72" s="729" t="s">
        <v>505</v>
      </c>
      <c r="C72" s="736">
        <v>56</v>
      </c>
      <c r="D72" s="731">
        <f>C72/$C$104</f>
        <v>2.1986650961915981E-2</v>
      </c>
      <c r="E72" s="737"/>
      <c r="F72" s="728"/>
      <c r="G72" s="728"/>
      <c r="H72" s="733">
        <v>100</v>
      </c>
      <c r="I72" s="727">
        <v>100</v>
      </c>
      <c r="J72" s="727">
        <v>100</v>
      </c>
      <c r="K72" s="727">
        <v>100</v>
      </c>
      <c r="L72" s="727">
        <v>100</v>
      </c>
      <c r="M72" s="727">
        <v>100</v>
      </c>
      <c r="N72" s="727">
        <v>100</v>
      </c>
      <c r="O72" s="727">
        <v>100</v>
      </c>
      <c r="P72" s="727">
        <v>100</v>
      </c>
      <c r="Q72" s="727">
        <v>100</v>
      </c>
      <c r="R72" s="727">
        <v>100</v>
      </c>
      <c r="S72" s="727">
        <v>100</v>
      </c>
      <c r="T72" s="727">
        <v>100</v>
      </c>
      <c r="U72" s="727">
        <v>100</v>
      </c>
      <c r="V72" s="727">
        <v>100</v>
      </c>
      <c r="W72" s="727">
        <v>100</v>
      </c>
      <c r="X72" s="727">
        <v>100</v>
      </c>
      <c r="Y72" s="727">
        <v>100</v>
      </c>
      <c r="Z72" s="727">
        <v>100</v>
      </c>
      <c r="AA72" s="727">
        <v>100</v>
      </c>
      <c r="AB72" s="727">
        <v>100</v>
      </c>
      <c r="AC72" s="727">
        <v>100</v>
      </c>
      <c r="AD72" s="727">
        <v>100</v>
      </c>
      <c r="AE72" s="727">
        <v>100</v>
      </c>
      <c r="AF72" s="727">
        <v>100</v>
      </c>
      <c r="AG72" s="727">
        <v>100</v>
      </c>
      <c r="AH72" s="727">
        <v>100</v>
      </c>
      <c r="AI72" s="727">
        <v>100</v>
      </c>
      <c r="AJ72" s="727">
        <v>100</v>
      </c>
      <c r="AK72" s="727">
        <v>100</v>
      </c>
      <c r="AL72" s="727">
        <v>100</v>
      </c>
      <c r="AM72" s="727">
        <v>100</v>
      </c>
      <c r="AN72" s="727">
        <v>100</v>
      </c>
      <c r="AO72" s="727">
        <v>100</v>
      </c>
      <c r="AP72" s="727">
        <v>100</v>
      </c>
      <c r="AQ72" s="727">
        <v>100</v>
      </c>
      <c r="AR72" s="727">
        <v>100</v>
      </c>
      <c r="AS72" s="727">
        <v>100</v>
      </c>
      <c r="AT72" s="727">
        <v>100</v>
      </c>
      <c r="AU72" s="727">
        <v>100</v>
      </c>
      <c r="AV72" s="727">
        <v>100</v>
      </c>
      <c r="AW72" s="727">
        <v>100</v>
      </c>
      <c r="AX72" s="727">
        <v>100</v>
      </c>
      <c r="AY72" s="727">
        <v>100</v>
      </c>
      <c r="AZ72" s="727">
        <v>100</v>
      </c>
      <c r="BA72" s="727">
        <v>100</v>
      </c>
      <c r="BB72" s="727">
        <v>100</v>
      </c>
      <c r="BC72" s="727">
        <v>100</v>
      </c>
      <c r="BD72" s="727">
        <v>100</v>
      </c>
      <c r="BE72" s="727">
        <v>100</v>
      </c>
    </row>
    <row r="73" spans="1:57" ht="45.95" customHeight="1">
      <c r="A73" s="718"/>
      <c r="B73" s="734" t="s">
        <v>506</v>
      </c>
      <c r="C73" s="736"/>
      <c r="D73" s="738"/>
      <c r="E73" s="740"/>
      <c r="F73" s="728"/>
      <c r="G73" s="728"/>
      <c r="H73" s="728"/>
      <c r="I73" s="728"/>
      <c r="J73" s="728"/>
      <c r="K73" s="728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8"/>
      <c r="X73" s="728"/>
      <c r="Y73" s="728"/>
      <c r="Z73" s="728"/>
      <c r="AA73" s="728"/>
      <c r="AB73" s="728"/>
      <c r="AC73" s="728"/>
      <c r="AD73" s="728"/>
      <c r="AE73" s="728"/>
      <c r="AF73" s="728"/>
      <c r="AG73" s="728"/>
      <c r="AH73" s="728"/>
      <c r="AI73" s="728"/>
      <c r="AJ73" s="728"/>
      <c r="AK73" s="728"/>
      <c r="AL73" s="728"/>
      <c r="AM73" s="728"/>
      <c r="AN73" s="728"/>
      <c r="AO73" s="728"/>
      <c r="AP73" s="728"/>
      <c r="AQ73" s="728"/>
      <c r="AR73" s="728"/>
      <c r="AS73" s="728"/>
      <c r="AT73" s="728"/>
      <c r="AU73" s="727"/>
      <c r="AV73" s="727"/>
      <c r="AW73" s="727"/>
      <c r="AX73" s="727"/>
      <c r="AY73" s="727"/>
      <c r="AZ73" s="727"/>
      <c r="BA73" s="727"/>
      <c r="BB73" s="727"/>
      <c r="BC73" s="727"/>
      <c r="BD73" s="727"/>
      <c r="BE73" s="727"/>
    </row>
    <row r="74" spans="1:57" ht="45.95" customHeight="1">
      <c r="A74" s="718" t="s">
        <v>461</v>
      </c>
      <c r="B74" s="729" t="s">
        <v>507</v>
      </c>
      <c r="C74" s="736">
        <v>156</v>
      </c>
      <c r="D74" s="731">
        <f>C74/$C$104</f>
        <v>6.1248527679623084E-2</v>
      </c>
      <c r="E74" s="737"/>
      <c r="F74" s="728"/>
      <c r="G74" s="728"/>
      <c r="H74" s="733">
        <v>50</v>
      </c>
      <c r="I74" s="733">
        <v>75</v>
      </c>
      <c r="J74" s="733">
        <v>100</v>
      </c>
      <c r="K74" s="727">
        <v>100</v>
      </c>
      <c r="L74" s="727">
        <v>100</v>
      </c>
      <c r="M74" s="727">
        <v>100</v>
      </c>
      <c r="N74" s="727">
        <v>100</v>
      </c>
      <c r="O74" s="727">
        <v>100</v>
      </c>
      <c r="P74" s="727">
        <v>100</v>
      </c>
      <c r="Q74" s="727">
        <v>100</v>
      </c>
      <c r="R74" s="727">
        <v>100</v>
      </c>
      <c r="S74" s="727">
        <v>100</v>
      </c>
      <c r="T74" s="727">
        <v>100</v>
      </c>
      <c r="U74" s="727">
        <v>100</v>
      </c>
      <c r="V74" s="727">
        <v>100</v>
      </c>
      <c r="W74" s="727">
        <v>100</v>
      </c>
      <c r="X74" s="727">
        <v>100</v>
      </c>
      <c r="Y74" s="727">
        <v>100</v>
      </c>
      <c r="Z74" s="727">
        <v>100</v>
      </c>
      <c r="AA74" s="727">
        <v>100</v>
      </c>
      <c r="AB74" s="727">
        <v>100</v>
      </c>
      <c r="AC74" s="727">
        <v>100</v>
      </c>
      <c r="AD74" s="727">
        <v>100</v>
      </c>
      <c r="AE74" s="727">
        <v>100</v>
      </c>
      <c r="AF74" s="727">
        <v>100</v>
      </c>
      <c r="AG74" s="727">
        <v>100</v>
      </c>
      <c r="AH74" s="727">
        <v>100</v>
      </c>
      <c r="AI74" s="727">
        <v>100</v>
      </c>
      <c r="AJ74" s="727">
        <v>100</v>
      </c>
      <c r="AK74" s="727">
        <v>100</v>
      </c>
      <c r="AL74" s="727">
        <v>100</v>
      </c>
      <c r="AM74" s="727">
        <v>100</v>
      </c>
      <c r="AN74" s="727">
        <v>100</v>
      </c>
      <c r="AO74" s="727">
        <v>100</v>
      </c>
      <c r="AP74" s="727">
        <v>100</v>
      </c>
      <c r="AQ74" s="727">
        <v>100</v>
      </c>
      <c r="AR74" s="727">
        <v>100</v>
      </c>
      <c r="AS74" s="727">
        <v>100</v>
      </c>
      <c r="AT74" s="727">
        <v>100</v>
      </c>
      <c r="AU74" s="727">
        <v>100</v>
      </c>
      <c r="AV74" s="727">
        <v>100</v>
      </c>
      <c r="AW74" s="727">
        <v>100</v>
      </c>
      <c r="AX74" s="727">
        <v>100</v>
      </c>
      <c r="AY74" s="727">
        <v>100</v>
      </c>
      <c r="AZ74" s="727">
        <v>100</v>
      </c>
      <c r="BA74" s="727">
        <v>100</v>
      </c>
      <c r="BB74" s="727">
        <v>100</v>
      </c>
      <c r="BC74" s="727">
        <v>100</v>
      </c>
      <c r="BD74" s="727">
        <v>100</v>
      </c>
      <c r="BE74" s="727">
        <v>100</v>
      </c>
    </row>
    <row r="75" spans="1:57" ht="45.95" customHeight="1">
      <c r="A75" s="718" t="s">
        <v>462</v>
      </c>
      <c r="B75" s="729" t="s">
        <v>508</v>
      </c>
      <c r="C75" s="736">
        <v>65</v>
      </c>
      <c r="D75" s="731">
        <f>C75/$C$104</f>
        <v>2.5520219866509618E-2</v>
      </c>
      <c r="E75" s="737"/>
      <c r="F75" s="728"/>
      <c r="G75" s="728"/>
      <c r="H75" s="733">
        <v>75</v>
      </c>
      <c r="I75" s="733">
        <v>100</v>
      </c>
      <c r="J75" s="727">
        <v>100</v>
      </c>
      <c r="K75" s="727">
        <v>100</v>
      </c>
      <c r="L75" s="727">
        <v>100</v>
      </c>
      <c r="M75" s="727">
        <v>100</v>
      </c>
      <c r="N75" s="727">
        <v>100</v>
      </c>
      <c r="O75" s="727">
        <v>100</v>
      </c>
      <c r="P75" s="727">
        <v>100</v>
      </c>
      <c r="Q75" s="727">
        <v>100</v>
      </c>
      <c r="R75" s="727">
        <v>100</v>
      </c>
      <c r="S75" s="727">
        <v>100</v>
      </c>
      <c r="T75" s="727">
        <v>100</v>
      </c>
      <c r="U75" s="727">
        <v>100</v>
      </c>
      <c r="V75" s="727">
        <v>100</v>
      </c>
      <c r="W75" s="727">
        <v>100</v>
      </c>
      <c r="X75" s="727">
        <v>100</v>
      </c>
      <c r="Y75" s="727">
        <v>100</v>
      </c>
      <c r="Z75" s="727">
        <v>100</v>
      </c>
      <c r="AA75" s="727">
        <v>100</v>
      </c>
      <c r="AB75" s="727">
        <v>100</v>
      </c>
      <c r="AC75" s="727">
        <v>100</v>
      </c>
      <c r="AD75" s="727">
        <v>100</v>
      </c>
      <c r="AE75" s="727">
        <v>100</v>
      </c>
      <c r="AF75" s="727">
        <v>100</v>
      </c>
      <c r="AG75" s="727">
        <v>100</v>
      </c>
      <c r="AH75" s="727">
        <v>100</v>
      </c>
      <c r="AI75" s="727">
        <v>100</v>
      </c>
      <c r="AJ75" s="727">
        <v>100</v>
      </c>
      <c r="AK75" s="727">
        <v>100</v>
      </c>
      <c r="AL75" s="727">
        <v>100</v>
      </c>
      <c r="AM75" s="727">
        <v>100</v>
      </c>
      <c r="AN75" s="727">
        <v>100</v>
      </c>
      <c r="AO75" s="727">
        <v>100</v>
      </c>
      <c r="AP75" s="727">
        <v>100</v>
      </c>
      <c r="AQ75" s="727">
        <v>100</v>
      </c>
      <c r="AR75" s="727">
        <v>100</v>
      </c>
      <c r="AS75" s="727">
        <v>100</v>
      </c>
      <c r="AT75" s="727">
        <v>100</v>
      </c>
      <c r="AU75" s="727">
        <v>100</v>
      </c>
      <c r="AV75" s="727">
        <v>100</v>
      </c>
      <c r="AW75" s="727">
        <v>100</v>
      </c>
      <c r="AX75" s="727">
        <v>100</v>
      </c>
      <c r="AY75" s="727">
        <v>100</v>
      </c>
      <c r="AZ75" s="727">
        <v>100</v>
      </c>
      <c r="BA75" s="727">
        <v>100</v>
      </c>
      <c r="BB75" s="727">
        <v>100</v>
      </c>
      <c r="BC75" s="727">
        <v>100</v>
      </c>
      <c r="BD75" s="727">
        <v>100</v>
      </c>
      <c r="BE75" s="727">
        <v>100</v>
      </c>
    </row>
    <row r="76" spans="1:57" ht="45.95" customHeight="1">
      <c r="A76" s="718" t="s">
        <v>463</v>
      </c>
      <c r="B76" s="729" t="s">
        <v>509</v>
      </c>
      <c r="C76" s="736">
        <v>52</v>
      </c>
      <c r="D76" s="731">
        <f>C76/$C$104</f>
        <v>2.0416175893207697E-2</v>
      </c>
      <c r="E76" s="737"/>
      <c r="F76" s="728"/>
      <c r="G76" s="728"/>
      <c r="H76" s="728"/>
      <c r="I76" s="733">
        <v>50</v>
      </c>
      <c r="J76" s="733">
        <v>100</v>
      </c>
      <c r="K76" s="727">
        <v>100</v>
      </c>
      <c r="L76" s="727">
        <v>100</v>
      </c>
      <c r="M76" s="727">
        <v>100</v>
      </c>
      <c r="N76" s="727">
        <v>100</v>
      </c>
      <c r="O76" s="727">
        <v>100</v>
      </c>
      <c r="P76" s="727">
        <v>100</v>
      </c>
      <c r="Q76" s="727">
        <v>100</v>
      </c>
      <c r="R76" s="727">
        <v>100</v>
      </c>
      <c r="S76" s="727">
        <v>100</v>
      </c>
      <c r="T76" s="727">
        <v>100</v>
      </c>
      <c r="U76" s="727">
        <v>100</v>
      </c>
      <c r="V76" s="727">
        <v>100</v>
      </c>
      <c r="W76" s="727">
        <v>100</v>
      </c>
      <c r="X76" s="727">
        <v>100</v>
      </c>
      <c r="Y76" s="727">
        <v>100</v>
      </c>
      <c r="Z76" s="727">
        <v>100</v>
      </c>
      <c r="AA76" s="727">
        <v>100</v>
      </c>
      <c r="AB76" s="727">
        <v>100</v>
      </c>
      <c r="AC76" s="727">
        <v>100</v>
      </c>
      <c r="AD76" s="727">
        <v>100</v>
      </c>
      <c r="AE76" s="727">
        <v>100</v>
      </c>
      <c r="AF76" s="727">
        <v>100</v>
      </c>
      <c r="AG76" s="727">
        <v>100</v>
      </c>
      <c r="AH76" s="727">
        <v>100</v>
      </c>
      <c r="AI76" s="727">
        <v>100</v>
      </c>
      <c r="AJ76" s="727">
        <v>100</v>
      </c>
      <c r="AK76" s="727">
        <v>100</v>
      </c>
      <c r="AL76" s="727">
        <v>100</v>
      </c>
      <c r="AM76" s="727">
        <v>100</v>
      </c>
      <c r="AN76" s="727">
        <v>100</v>
      </c>
      <c r="AO76" s="727">
        <v>100</v>
      </c>
      <c r="AP76" s="727">
        <v>100</v>
      </c>
      <c r="AQ76" s="727">
        <v>100</v>
      </c>
      <c r="AR76" s="727">
        <v>100</v>
      </c>
      <c r="AS76" s="727">
        <v>100</v>
      </c>
      <c r="AT76" s="727">
        <v>100</v>
      </c>
      <c r="AU76" s="727">
        <v>100</v>
      </c>
      <c r="AV76" s="727">
        <v>100</v>
      </c>
      <c r="AW76" s="727">
        <v>100</v>
      </c>
      <c r="AX76" s="727">
        <v>100</v>
      </c>
      <c r="AY76" s="727">
        <v>100</v>
      </c>
      <c r="AZ76" s="727">
        <v>100</v>
      </c>
      <c r="BA76" s="727">
        <v>100</v>
      </c>
      <c r="BB76" s="727">
        <v>100</v>
      </c>
      <c r="BC76" s="727">
        <v>100</v>
      </c>
      <c r="BD76" s="727">
        <v>100</v>
      </c>
      <c r="BE76" s="727">
        <v>100</v>
      </c>
    </row>
    <row r="77" spans="1:57" ht="45.95" customHeight="1">
      <c r="A77" s="741"/>
      <c r="B77" s="734" t="s">
        <v>459</v>
      </c>
      <c r="C77" s="736"/>
      <c r="D77" s="738"/>
      <c r="E77" s="740"/>
      <c r="F77" s="728"/>
      <c r="G77" s="736"/>
      <c r="H77" s="736"/>
      <c r="I77" s="736"/>
      <c r="J77" s="736"/>
      <c r="K77" s="736"/>
      <c r="L77" s="736"/>
      <c r="M77" s="736"/>
      <c r="N77" s="736"/>
      <c r="O77" s="736"/>
      <c r="P77" s="736"/>
      <c r="Q77" s="736"/>
      <c r="R77" s="736"/>
      <c r="S77" s="736"/>
      <c r="T77" s="736"/>
      <c r="U77" s="736"/>
      <c r="V77" s="736"/>
      <c r="W77" s="736"/>
      <c r="X77" s="736"/>
      <c r="Y77" s="736"/>
      <c r="Z77" s="736"/>
      <c r="AA77" s="736"/>
      <c r="AB77" s="736"/>
      <c r="AC77" s="736"/>
      <c r="AD77" s="736"/>
      <c r="AE77" s="736"/>
      <c r="AF77" s="736"/>
      <c r="AG77" s="736"/>
      <c r="AH77" s="736"/>
      <c r="AI77" s="736"/>
      <c r="AJ77" s="736"/>
      <c r="AK77" s="736"/>
      <c r="AL77" s="736"/>
      <c r="AM77" s="736"/>
      <c r="AN77" s="736"/>
      <c r="AO77" s="736"/>
      <c r="AP77" s="736"/>
      <c r="AQ77" s="736"/>
      <c r="AR77" s="736"/>
      <c r="AS77" s="736"/>
      <c r="AT77" s="736"/>
      <c r="AU77" s="742"/>
      <c r="AV77" s="742"/>
      <c r="AW77" s="742"/>
      <c r="AX77" s="742"/>
      <c r="AY77" s="742"/>
      <c r="AZ77" s="742"/>
      <c r="BA77" s="742"/>
      <c r="BB77" s="742"/>
      <c r="BC77" s="742"/>
      <c r="BD77" s="742"/>
      <c r="BE77" s="742"/>
    </row>
    <row r="78" spans="1:57" ht="45.95" customHeight="1">
      <c r="A78" s="741" t="s">
        <v>464</v>
      </c>
      <c r="B78" s="743" t="s">
        <v>510</v>
      </c>
      <c r="C78" s="736">
        <v>128</v>
      </c>
      <c r="D78" s="731">
        <f>C78/$C$104</f>
        <v>5.0255202198665097E-2</v>
      </c>
      <c r="E78" s="744"/>
      <c r="F78" s="736"/>
      <c r="G78" s="736"/>
      <c r="H78" s="736"/>
      <c r="I78" s="733">
        <v>50</v>
      </c>
      <c r="J78" s="733">
        <v>75</v>
      </c>
      <c r="K78" s="733">
        <v>100</v>
      </c>
      <c r="L78" s="727">
        <v>100</v>
      </c>
      <c r="M78" s="727">
        <v>100</v>
      </c>
      <c r="N78" s="727">
        <v>100</v>
      </c>
      <c r="O78" s="727">
        <v>100</v>
      </c>
      <c r="P78" s="727">
        <v>100</v>
      </c>
      <c r="Q78" s="727">
        <v>100</v>
      </c>
      <c r="R78" s="727">
        <v>100</v>
      </c>
      <c r="S78" s="727">
        <v>100</v>
      </c>
      <c r="T78" s="727">
        <v>100</v>
      </c>
      <c r="U78" s="727">
        <v>100</v>
      </c>
      <c r="V78" s="727">
        <v>100</v>
      </c>
      <c r="W78" s="727">
        <v>100</v>
      </c>
      <c r="X78" s="727">
        <v>100</v>
      </c>
      <c r="Y78" s="727">
        <v>100</v>
      </c>
      <c r="Z78" s="727">
        <v>100</v>
      </c>
      <c r="AA78" s="727">
        <v>100</v>
      </c>
      <c r="AB78" s="727">
        <v>100</v>
      </c>
      <c r="AC78" s="727">
        <v>100</v>
      </c>
      <c r="AD78" s="727">
        <v>100</v>
      </c>
      <c r="AE78" s="727">
        <v>100</v>
      </c>
      <c r="AF78" s="727">
        <v>100</v>
      </c>
      <c r="AG78" s="727">
        <v>100</v>
      </c>
      <c r="AH78" s="727">
        <v>100</v>
      </c>
      <c r="AI78" s="727">
        <v>100</v>
      </c>
      <c r="AJ78" s="727">
        <v>100</v>
      </c>
      <c r="AK78" s="727">
        <v>100</v>
      </c>
      <c r="AL78" s="727">
        <v>100</v>
      </c>
      <c r="AM78" s="727">
        <v>100</v>
      </c>
      <c r="AN78" s="727">
        <v>100</v>
      </c>
      <c r="AO78" s="727">
        <v>100</v>
      </c>
      <c r="AP78" s="727">
        <v>100</v>
      </c>
      <c r="AQ78" s="727">
        <v>100</v>
      </c>
      <c r="AR78" s="727">
        <v>100</v>
      </c>
      <c r="AS78" s="727">
        <v>100</v>
      </c>
      <c r="AT78" s="727">
        <v>100</v>
      </c>
      <c r="AU78" s="727">
        <v>100</v>
      </c>
      <c r="AV78" s="727">
        <v>100</v>
      </c>
      <c r="AW78" s="727">
        <v>100</v>
      </c>
      <c r="AX78" s="727">
        <v>100</v>
      </c>
      <c r="AY78" s="727">
        <v>100</v>
      </c>
      <c r="AZ78" s="727">
        <v>100</v>
      </c>
      <c r="BA78" s="727">
        <v>100</v>
      </c>
      <c r="BB78" s="727">
        <v>100</v>
      </c>
      <c r="BC78" s="727">
        <v>100</v>
      </c>
      <c r="BD78" s="727">
        <v>100</v>
      </c>
      <c r="BE78" s="727">
        <v>100</v>
      </c>
    </row>
    <row r="79" spans="1:57" ht="45.95" customHeight="1">
      <c r="A79" s="741" t="s">
        <v>465</v>
      </c>
      <c r="B79" s="745" t="s">
        <v>511</v>
      </c>
      <c r="C79" s="736">
        <v>51</v>
      </c>
      <c r="D79" s="731">
        <f>C79/$C$104</f>
        <v>2.0023557126030624E-2</v>
      </c>
      <c r="E79" s="744"/>
      <c r="F79" s="736"/>
      <c r="G79" s="736"/>
      <c r="H79" s="736"/>
      <c r="I79" s="733">
        <v>50</v>
      </c>
      <c r="J79" s="733">
        <v>100</v>
      </c>
      <c r="K79" s="727">
        <v>100</v>
      </c>
      <c r="L79" s="727">
        <v>100</v>
      </c>
      <c r="M79" s="727">
        <v>100</v>
      </c>
      <c r="N79" s="727">
        <v>100</v>
      </c>
      <c r="O79" s="727">
        <v>100</v>
      </c>
      <c r="P79" s="727">
        <v>100</v>
      </c>
      <c r="Q79" s="727">
        <v>100</v>
      </c>
      <c r="R79" s="727">
        <v>100</v>
      </c>
      <c r="S79" s="727">
        <v>100</v>
      </c>
      <c r="T79" s="727">
        <v>100</v>
      </c>
      <c r="U79" s="727">
        <v>100</v>
      </c>
      <c r="V79" s="727">
        <v>100</v>
      </c>
      <c r="W79" s="727">
        <v>100</v>
      </c>
      <c r="X79" s="727">
        <v>100</v>
      </c>
      <c r="Y79" s="727">
        <v>100</v>
      </c>
      <c r="Z79" s="727">
        <v>100</v>
      </c>
      <c r="AA79" s="727">
        <v>100</v>
      </c>
      <c r="AB79" s="727">
        <v>100</v>
      </c>
      <c r="AC79" s="727">
        <v>100</v>
      </c>
      <c r="AD79" s="727">
        <v>100</v>
      </c>
      <c r="AE79" s="727">
        <v>100</v>
      </c>
      <c r="AF79" s="727">
        <v>100</v>
      </c>
      <c r="AG79" s="727">
        <v>100</v>
      </c>
      <c r="AH79" s="727">
        <v>100</v>
      </c>
      <c r="AI79" s="727">
        <v>100</v>
      </c>
      <c r="AJ79" s="727">
        <v>100</v>
      </c>
      <c r="AK79" s="727">
        <v>100</v>
      </c>
      <c r="AL79" s="727">
        <v>100</v>
      </c>
      <c r="AM79" s="727">
        <v>100</v>
      </c>
      <c r="AN79" s="727">
        <v>100</v>
      </c>
      <c r="AO79" s="727">
        <v>100</v>
      </c>
      <c r="AP79" s="727">
        <v>100</v>
      </c>
      <c r="AQ79" s="727">
        <v>100</v>
      </c>
      <c r="AR79" s="727">
        <v>100</v>
      </c>
      <c r="AS79" s="727">
        <v>100</v>
      </c>
      <c r="AT79" s="727">
        <v>100</v>
      </c>
      <c r="AU79" s="727">
        <v>100</v>
      </c>
      <c r="AV79" s="727">
        <v>100</v>
      </c>
      <c r="AW79" s="727">
        <v>100</v>
      </c>
      <c r="AX79" s="727">
        <v>100</v>
      </c>
      <c r="AY79" s="727">
        <v>100</v>
      </c>
      <c r="AZ79" s="727">
        <v>100</v>
      </c>
      <c r="BA79" s="727">
        <v>100</v>
      </c>
      <c r="BB79" s="727">
        <v>100</v>
      </c>
      <c r="BC79" s="727">
        <v>100</v>
      </c>
      <c r="BD79" s="727">
        <v>100</v>
      </c>
      <c r="BE79" s="727">
        <v>100</v>
      </c>
    </row>
    <row r="80" spans="1:57" ht="45.95" customHeight="1">
      <c r="A80" s="741" t="s">
        <v>466</v>
      </c>
      <c r="B80" s="745" t="s">
        <v>512</v>
      </c>
      <c r="C80" s="736">
        <v>114</v>
      </c>
      <c r="D80" s="731">
        <f>C80/$C$104</f>
        <v>4.47585394581861E-2</v>
      </c>
      <c r="E80" s="744"/>
      <c r="F80" s="736"/>
      <c r="G80" s="736"/>
      <c r="H80" s="736"/>
      <c r="I80" s="736"/>
      <c r="J80" s="736"/>
      <c r="K80" s="733">
        <v>60</v>
      </c>
      <c r="L80" s="733">
        <v>80</v>
      </c>
      <c r="M80" s="733">
        <v>100</v>
      </c>
      <c r="N80" s="727">
        <v>100</v>
      </c>
      <c r="O80" s="727">
        <v>100</v>
      </c>
      <c r="P80" s="727">
        <v>100</v>
      </c>
      <c r="Q80" s="727">
        <v>100</v>
      </c>
      <c r="R80" s="727">
        <v>100</v>
      </c>
      <c r="S80" s="727">
        <v>100</v>
      </c>
      <c r="T80" s="727">
        <v>100</v>
      </c>
      <c r="U80" s="727">
        <v>100</v>
      </c>
      <c r="V80" s="727">
        <v>100</v>
      </c>
      <c r="W80" s="727">
        <v>100</v>
      </c>
      <c r="X80" s="727">
        <v>100</v>
      </c>
      <c r="Y80" s="727">
        <v>100</v>
      </c>
      <c r="Z80" s="727">
        <v>100</v>
      </c>
      <c r="AA80" s="727">
        <v>100</v>
      </c>
      <c r="AB80" s="727">
        <v>100</v>
      </c>
      <c r="AC80" s="727">
        <v>100</v>
      </c>
      <c r="AD80" s="727">
        <v>100</v>
      </c>
      <c r="AE80" s="727">
        <v>100</v>
      </c>
      <c r="AF80" s="727">
        <v>100</v>
      </c>
      <c r="AG80" s="727">
        <v>100</v>
      </c>
      <c r="AH80" s="727">
        <v>100</v>
      </c>
      <c r="AI80" s="727">
        <v>100</v>
      </c>
      <c r="AJ80" s="727">
        <v>100</v>
      </c>
      <c r="AK80" s="727">
        <v>100</v>
      </c>
      <c r="AL80" s="727">
        <v>100</v>
      </c>
      <c r="AM80" s="727">
        <v>100</v>
      </c>
      <c r="AN80" s="727">
        <v>100</v>
      </c>
      <c r="AO80" s="727">
        <v>100</v>
      </c>
      <c r="AP80" s="727">
        <v>100</v>
      </c>
      <c r="AQ80" s="727">
        <v>100</v>
      </c>
      <c r="AR80" s="727">
        <v>100</v>
      </c>
      <c r="AS80" s="727">
        <v>100</v>
      </c>
      <c r="AT80" s="727">
        <v>100</v>
      </c>
      <c r="AU80" s="727">
        <v>100</v>
      </c>
      <c r="AV80" s="727">
        <v>100</v>
      </c>
      <c r="AW80" s="727">
        <v>100</v>
      </c>
      <c r="AX80" s="727">
        <v>100</v>
      </c>
      <c r="AY80" s="727">
        <v>100</v>
      </c>
      <c r="AZ80" s="727">
        <v>100</v>
      </c>
      <c r="BA80" s="727">
        <v>100</v>
      </c>
      <c r="BB80" s="727">
        <v>100</v>
      </c>
      <c r="BC80" s="727">
        <v>100</v>
      </c>
      <c r="BD80" s="727">
        <v>100</v>
      </c>
      <c r="BE80" s="727">
        <v>100</v>
      </c>
    </row>
    <row r="81" spans="1:57" ht="45.95" customHeight="1">
      <c r="A81" s="741" t="s">
        <v>467</v>
      </c>
      <c r="B81" s="745" t="s">
        <v>513</v>
      </c>
      <c r="C81" s="736">
        <v>102</v>
      </c>
      <c r="D81" s="731">
        <f>C81/$C$104</f>
        <v>4.0047114252061249E-2</v>
      </c>
      <c r="E81" s="744"/>
      <c r="F81" s="736"/>
      <c r="G81" s="736"/>
      <c r="H81" s="736"/>
      <c r="I81" s="736"/>
      <c r="J81" s="736"/>
      <c r="K81" s="736"/>
      <c r="L81" s="736"/>
      <c r="M81" s="733">
        <v>75</v>
      </c>
      <c r="N81" s="733">
        <v>100</v>
      </c>
      <c r="O81" s="727">
        <v>100</v>
      </c>
      <c r="P81" s="727">
        <v>100</v>
      </c>
      <c r="Q81" s="727">
        <v>100</v>
      </c>
      <c r="R81" s="727">
        <v>100</v>
      </c>
      <c r="S81" s="727">
        <v>100</v>
      </c>
      <c r="T81" s="727">
        <v>100</v>
      </c>
      <c r="U81" s="727">
        <v>100</v>
      </c>
      <c r="V81" s="727">
        <v>100</v>
      </c>
      <c r="W81" s="727">
        <v>100</v>
      </c>
      <c r="X81" s="727">
        <v>100</v>
      </c>
      <c r="Y81" s="727">
        <v>100</v>
      </c>
      <c r="Z81" s="727">
        <v>100</v>
      </c>
      <c r="AA81" s="727">
        <v>100</v>
      </c>
      <c r="AB81" s="727">
        <v>100</v>
      </c>
      <c r="AC81" s="727">
        <v>100</v>
      </c>
      <c r="AD81" s="727">
        <v>100</v>
      </c>
      <c r="AE81" s="727">
        <v>100</v>
      </c>
      <c r="AF81" s="727">
        <v>100</v>
      </c>
      <c r="AG81" s="727">
        <v>100</v>
      </c>
      <c r="AH81" s="727">
        <v>100</v>
      </c>
      <c r="AI81" s="727">
        <v>100</v>
      </c>
      <c r="AJ81" s="727">
        <v>100</v>
      </c>
      <c r="AK81" s="727">
        <v>100</v>
      </c>
      <c r="AL81" s="727">
        <v>100</v>
      </c>
      <c r="AM81" s="727">
        <v>100</v>
      </c>
      <c r="AN81" s="727">
        <v>100</v>
      </c>
      <c r="AO81" s="727">
        <v>100</v>
      </c>
      <c r="AP81" s="727">
        <v>100</v>
      </c>
      <c r="AQ81" s="727">
        <v>100</v>
      </c>
      <c r="AR81" s="727">
        <v>100</v>
      </c>
      <c r="AS81" s="727">
        <v>100</v>
      </c>
      <c r="AT81" s="727">
        <v>100</v>
      </c>
      <c r="AU81" s="727">
        <v>100</v>
      </c>
      <c r="AV81" s="727">
        <v>100</v>
      </c>
      <c r="AW81" s="727">
        <v>100</v>
      </c>
      <c r="AX81" s="727">
        <v>100</v>
      </c>
      <c r="AY81" s="727">
        <v>100</v>
      </c>
      <c r="AZ81" s="727">
        <v>100</v>
      </c>
      <c r="BA81" s="727">
        <v>100</v>
      </c>
      <c r="BB81" s="727">
        <v>100</v>
      </c>
      <c r="BC81" s="727">
        <v>100</v>
      </c>
      <c r="BD81" s="727">
        <v>100</v>
      </c>
      <c r="BE81" s="727">
        <v>100</v>
      </c>
    </row>
    <row r="82" spans="1:57" ht="45.95" customHeight="1">
      <c r="A82" s="741"/>
      <c r="B82" s="746" t="s">
        <v>514</v>
      </c>
      <c r="C82" s="736"/>
      <c r="D82" s="736"/>
      <c r="E82" s="736"/>
      <c r="F82" s="736"/>
      <c r="G82" s="736"/>
      <c r="H82" s="736"/>
      <c r="I82" s="736"/>
      <c r="J82" s="736"/>
      <c r="K82" s="736"/>
      <c r="L82" s="736"/>
      <c r="M82" s="736"/>
      <c r="N82" s="736"/>
      <c r="O82" s="736"/>
      <c r="P82" s="736"/>
      <c r="Q82" s="736"/>
      <c r="R82" s="736"/>
      <c r="S82" s="736"/>
      <c r="T82" s="736"/>
      <c r="U82" s="736"/>
      <c r="V82" s="736"/>
      <c r="W82" s="736"/>
      <c r="X82" s="736"/>
      <c r="Y82" s="736"/>
      <c r="Z82" s="736"/>
      <c r="AA82" s="736"/>
      <c r="AB82" s="736"/>
      <c r="AC82" s="736"/>
      <c r="AD82" s="736"/>
      <c r="AE82" s="736"/>
      <c r="AF82" s="736"/>
      <c r="AG82" s="736"/>
      <c r="AH82" s="736"/>
      <c r="AI82" s="736"/>
      <c r="AJ82" s="736"/>
      <c r="AK82" s="736"/>
      <c r="AL82" s="736"/>
      <c r="AM82" s="736"/>
      <c r="AN82" s="736"/>
      <c r="AO82" s="736"/>
      <c r="AP82" s="736"/>
      <c r="AQ82" s="736"/>
      <c r="AR82" s="736"/>
      <c r="AS82" s="736"/>
      <c r="AT82" s="736"/>
      <c r="AU82" s="742"/>
      <c r="AV82" s="742"/>
      <c r="AW82" s="742"/>
      <c r="AX82" s="742"/>
      <c r="AY82" s="742"/>
      <c r="AZ82" s="742"/>
      <c r="BA82" s="742"/>
      <c r="BB82" s="742"/>
      <c r="BC82" s="742"/>
      <c r="BD82" s="742"/>
      <c r="BE82" s="742"/>
    </row>
    <row r="83" spans="1:57" ht="45.95" customHeight="1">
      <c r="A83" s="741" t="s">
        <v>468</v>
      </c>
      <c r="B83" s="745" t="s">
        <v>515</v>
      </c>
      <c r="C83" s="736">
        <v>66</v>
      </c>
      <c r="D83" s="731">
        <f t="shared" ref="D83:D89" si="13">C83/$C$104</f>
        <v>2.591283863368669E-2</v>
      </c>
      <c r="E83" s="744"/>
      <c r="F83" s="736"/>
      <c r="G83" s="736"/>
      <c r="H83" s="736"/>
      <c r="I83" s="736"/>
      <c r="J83" s="736"/>
      <c r="K83" s="736"/>
      <c r="L83" s="736"/>
      <c r="M83" s="733">
        <v>50</v>
      </c>
      <c r="N83" s="733">
        <v>75</v>
      </c>
      <c r="O83" s="733">
        <v>100</v>
      </c>
      <c r="P83" s="727">
        <v>100</v>
      </c>
      <c r="Q83" s="727">
        <v>100</v>
      </c>
      <c r="R83" s="727">
        <v>100</v>
      </c>
      <c r="S83" s="727">
        <v>100</v>
      </c>
      <c r="T83" s="727">
        <v>100</v>
      </c>
      <c r="U83" s="727">
        <v>100</v>
      </c>
      <c r="V83" s="727">
        <v>100</v>
      </c>
      <c r="W83" s="727">
        <v>100</v>
      </c>
      <c r="X83" s="727">
        <v>100</v>
      </c>
      <c r="Y83" s="727">
        <v>100</v>
      </c>
      <c r="Z83" s="727">
        <v>100</v>
      </c>
      <c r="AA83" s="727">
        <v>100</v>
      </c>
      <c r="AB83" s="727">
        <v>100</v>
      </c>
      <c r="AC83" s="727">
        <v>100</v>
      </c>
      <c r="AD83" s="727">
        <v>100</v>
      </c>
      <c r="AE83" s="727">
        <v>100</v>
      </c>
      <c r="AF83" s="727">
        <v>100</v>
      </c>
      <c r="AG83" s="727">
        <v>100</v>
      </c>
      <c r="AH83" s="727">
        <v>100</v>
      </c>
      <c r="AI83" s="727">
        <v>100</v>
      </c>
      <c r="AJ83" s="727">
        <v>100</v>
      </c>
      <c r="AK83" s="727">
        <v>100</v>
      </c>
      <c r="AL83" s="727">
        <v>100</v>
      </c>
      <c r="AM83" s="727">
        <v>100</v>
      </c>
      <c r="AN83" s="727">
        <v>100</v>
      </c>
      <c r="AO83" s="727">
        <v>100</v>
      </c>
      <c r="AP83" s="727">
        <v>100</v>
      </c>
      <c r="AQ83" s="727">
        <v>100</v>
      </c>
      <c r="AR83" s="727">
        <v>100</v>
      </c>
      <c r="AS83" s="727">
        <v>100</v>
      </c>
      <c r="AT83" s="727">
        <v>100</v>
      </c>
      <c r="AU83" s="727">
        <v>100</v>
      </c>
      <c r="AV83" s="727">
        <v>100</v>
      </c>
      <c r="AW83" s="727">
        <v>100</v>
      </c>
      <c r="AX83" s="727">
        <v>100</v>
      </c>
      <c r="AY83" s="727">
        <v>100</v>
      </c>
      <c r="AZ83" s="727">
        <v>100</v>
      </c>
      <c r="BA83" s="727">
        <v>100</v>
      </c>
      <c r="BB83" s="727">
        <v>100</v>
      </c>
      <c r="BC83" s="727">
        <v>100</v>
      </c>
      <c r="BD83" s="727">
        <v>100</v>
      </c>
      <c r="BE83" s="727">
        <v>100</v>
      </c>
    </row>
    <row r="84" spans="1:57" ht="45.95" customHeight="1">
      <c r="A84" s="741" t="s">
        <v>469</v>
      </c>
      <c r="B84" s="745" t="s">
        <v>516</v>
      </c>
      <c r="C84" s="736">
        <v>168</v>
      </c>
      <c r="D84" s="731">
        <f t="shared" si="13"/>
        <v>6.5959952885747936E-2</v>
      </c>
      <c r="E84" s="744"/>
      <c r="F84" s="736"/>
      <c r="G84" s="736"/>
      <c r="H84" s="736"/>
      <c r="I84" s="736"/>
      <c r="J84" s="736"/>
      <c r="K84" s="736"/>
      <c r="L84" s="736"/>
      <c r="M84" s="736"/>
      <c r="N84" s="733">
        <v>50</v>
      </c>
      <c r="O84" s="733">
        <v>75</v>
      </c>
      <c r="P84" s="733">
        <v>100</v>
      </c>
      <c r="Q84" s="727">
        <v>100</v>
      </c>
      <c r="R84" s="727">
        <v>100</v>
      </c>
      <c r="S84" s="727">
        <v>100</v>
      </c>
      <c r="T84" s="727">
        <v>100</v>
      </c>
      <c r="U84" s="727">
        <v>100</v>
      </c>
      <c r="V84" s="727">
        <v>100</v>
      </c>
      <c r="W84" s="727">
        <v>100</v>
      </c>
      <c r="X84" s="727">
        <v>100</v>
      </c>
      <c r="Y84" s="727">
        <v>100</v>
      </c>
      <c r="Z84" s="727">
        <v>100</v>
      </c>
      <c r="AA84" s="727">
        <v>100</v>
      </c>
      <c r="AB84" s="727">
        <v>100</v>
      </c>
      <c r="AC84" s="727">
        <v>100</v>
      </c>
      <c r="AD84" s="727">
        <v>100</v>
      </c>
      <c r="AE84" s="727">
        <v>100</v>
      </c>
      <c r="AF84" s="727">
        <v>100</v>
      </c>
      <c r="AG84" s="727">
        <v>100</v>
      </c>
      <c r="AH84" s="727">
        <v>100</v>
      </c>
      <c r="AI84" s="727">
        <v>100</v>
      </c>
      <c r="AJ84" s="727">
        <v>100</v>
      </c>
      <c r="AK84" s="727">
        <v>100</v>
      </c>
      <c r="AL84" s="727">
        <v>100</v>
      </c>
      <c r="AM84" s="727">
        <v>100</v>
      </c>
      <c r="AN84" s="727">
        <v>100</v>
      </c>
      <c r="AO84" s="727">
        <v>100</v>
      </c>
      <c r="AP84" s="727">
        <v>100</v>
      </c>
      <c r="AQ84" s="727">
        <v>100</v>
      </c>
      <c r="AR84" s="727">
        <v>100</v>
      </c>
      <c r="AS84" s="727">
        <v>100</v>
      </c>
      <c r="AT84" s="727">
        <v>100</v>
      </c>
      <c r="AU84" s="727">
        <v>100</v>
      </c>
      <c r="AV84" s="727">
        <v>100</v>
      </c>
      <c r="AW84" s="727">
        <v>100</v>
      </c>
      <c r="AX84" s="727">
        <v>100</v>
      </c>
      <c r="AY84" s="727">
        <v>100</v>
      </c>
      <c r="AZ84" s="727">
        <v>100</v>
      </c>
      <c r="BA84" s="727">
        <v>100</v>
      </c>
      <c r="BB84" s="727">
        <v>100</v>
      </c>
      <c r="BC84" s="727">
        <v>100</v>
      </c>
      <c r="BD84" s="727">
        <v>100</v>
      </c>
      <c r="BE84" s="727">
        <v>100</v>
      </c>
    </row>
    <row r="85" spans="1:57" ht="45.95" customHeight="1">
      <c r="A85" s="741" t="s">
        <v>470</v>
      </c>
      <c r="B85" s="745" t="s">
        <v>517</v>
      </c>
      <c r="C85" s="736">
        <v>60</v>
      </c>
      <c r="D85" s="731">
        <f t="shared" si="13"/>
        <v>2.3557126030624265E-2</v>
      </c>
      <c r="E85" s="744"/>
      <c r="F85" s="736"/>
      <c r="G85" s="736"/>
      <c r="H85" s="736"/>
      <c r="I85" s="736"/>
      <c r="J85" s="736"/>
      <c r="K85" s="736"/>
      <c r="L85" s="736"/>
      <c r="M85" s="736"/>
      <c r="N85" s="736"/>
      <c r="O85" s="733">
        <v>50</v>
      </c>
      <c r="P85" s="733">
        <v>75</v>
      </c>
      <c r="Q85" s="733">
        <v>100</v>
      </c>
      <c r="R85" s="727">
        <v>100</v>
      </c>
      <c r="S85" s="727">
        <v>100</v>
      </c>
      <c r="T85" s="727">
        <v>100</v>
      </c>
      <c r="U85" s="727">
        <v>100</v>
      </c>
      <c r="V85" s="727">
        <v>100</v>
      </c>
      <c r="W85" s="727">
        <v>100</v>
      </c>
      <c r="X85" s="727">
        <v>100</v>
      </c>
      <c r="Y85" s="727">
        <v>100</v>
      </c>
      <c r="Z85" s="727">
        <v>100</v>
      </c>
      <c r="AA85" s="727">
        <v>100</v>
      </c>
      <c r="AB85" s="727">
        <v>100</v>
      </c>
      <c r="AC85" s="727">
        <v>100</v>
      </c>
      <c r="AD85" s="727">
        <v>100</v>
      </c>
      <c r="AE85" s="727">
        <v>100</v>
      </c>
      <c r="AF85" s="727">
        <v>100</v>
      </c>
      <c r="AG85" s="727">
        <v>100</v>
      </c>
      <c r="AH85" s="727">
        <v>100</v>
      </c>
      <c r="AI85" s="727">
        <v>100</v>
      </c>
      <c r="AJ85" s="727">
        <v>100</v>
      </c>
      <c r="AK85" s="727">
        <v>100</v>
      </c>
      <c r="AL85" s="727">
        <v>100</v>
      </c>
      <c r="AM85" s="727">
        <v>100</v>
      </c>
      <c r="AN85" s="727">
        <v>100</v>
      </c>
      <c r="AO85" s="727">
        <v>100</v>
      </c>
      <c r="AP85" s="727">
        <v>100</v>
      </c>
      <c r="AQ85" s="727">
        <v>100</v>
      </c>
      <c r="AR85" s="727">
        <v>100</v>
      </c>
      <c r="AS85" s="727">
        <v>100</v>
      </c>
      <c r="AT85" s="727">
        <v>100</v>
      </c>
      <c r="AU85" s="727">
        <v>100</v>
      </c>
      <c r="AV85" s="727">
        <v>100</v>
      </c>
      <c r="AW85" s="727">
        <v>100</v>
      </c>
      <c r="AX85" s="727">
        <v>100</v>
      </c>
      <c r="AY85" s="727">
        <v>100</v>
      </c>
      <c r="AZ85" s="727">
        <v>100</v>
      </c>
      <c r="BA85" s="727">
        <v>100</v>
      </c>
      <c r="BB85" s="727">
        <v>100</v>
      </c>
      <c r="BC85" s="727">
        <v>100</v>
      </c>
      <c r="BD85" s="727">
        <v>100</v>
      </c>
      <c r="BE85" s="727">
        <v>100</v>
      </c>
    </row>
    <row r="86" spans="1:57" ht="45.95" customHeight="1">
      <c r="A86" s="741" t="s">
        <v>97</v>
      </c>
      <c r="B86" s="745" t="s">
        <v>518</v>
      </c>
      <c r="C86" s="736">
        <v>147</v>
      </c>
      <c r="D86" s="731">
        <f t="shared" si="13"/>
        <v>5.7714958775029447E-2</v>
      </c>
      <c r="E86" s="744"/>
      <c r="F86" s="736"/>
      <c r="G86" s="736"/>
      <c r="H86" s="736"/>
      <c r="I86" s="736"/>
      <c r="J86" s="728"/>
      <c r="K86" s="727">
        <v>100</v>
      </c>
      <c r="L86" s="727">
        <v>100</v>
      </c>
      <c r="M86" s="727">
        <v>100</v>
      </c>
      <c r="N86" s="727">
        <v>100</v>
      </c>
      <c r="O86" s="727">
        <v>100</v>
      </c>
      <c r="P86" s="733">
        <v>50</v>
      </c>
      <c r="Q86" s="733">
        <v>75</v>
      </c>
      <c r="R86" s="733">
        <v>100</v>
      </c>
      <c r="S86" s="727">
        <v>100</v>
      </c>
      <c r="T86" s="727">
        <v>100</v>
      </c>
      <c r="U86" s="727">
        <v>100</v>
      </c>
      <c r="V86" s="727">
        <v>100</v>
      </c>
      <c r="W86" s="727">
        <v>100</v>
      </c>
      <c r="X86" s="727">
        <v>100</v>
      </c>
      <c r="Y86" s="727">
        <v>100</v>
      </c>
      <c r="Z86" s="727">
        <v>100</v>
      </c>
      <c r="AA86" s="727">
        <v>100</v>
      </c>
      <c r="AB86" s="727">
        <v>100</v>
      </c>
      <c r="AC86" s="727">
        <v>100</v>
      </c>
      <c r="AD86" s="727">
        <v>100</v>
      </c>
      <c r="AE86" s="727">
        <v>100</v>
      </c>
      <c r="AF86" s="727">
        <v>100</v>
      </c>
      <c r="AG86" s="727">
        <v>100</v>
      </c>
      <c r="AH86" s="727">
        <v>100</v>
      </c>
      <c r="AI86" s="727">
        <v>100</v>
      </c>
      <c r="AJ86" s="727">
        <v>100</v>
      </c>
      <c r="AK86" s="727">
        <v>100</v>
      </c>
      <c r="AL86" s="727">
        <v>100</v>
      </c>
      <c r="AM86" s="727">
        <v>100</v>
      </c>
      <c r="AN86" s="727">
        <v>100</v>
      </c>
      <c r="AO86" s="727">
        <v>100</v>
      </c>
      <c r="AP86" s="727">
        <v>100</v>
      </c>
      <c r="AQ86" s="727">
        <v>100</v>
      </c>
      <c r="AR86" s="727">
        <v>100</v>
      </c>
      <c r="AS86" s="727">
        <v>100</v>
      </c>
      <c r="AT86" s="727">
        <v>100</v>
      </c>
      <c r="AU86" s="727">
        <v>100</v>
      </c>
      <c r="AV86" s="727">
        <v>100</v>
      </c>
      <c r="AW86" s="727">
        <v>100</v>
      </c>
      <c r="AX86" s="727">
        <v>100</v>
      </c>
      <c r="AY86" s="727">
        <v>100</v>
      </c>
      <c r="AZ86" s="727">
        <v>100</v>
      </c>
      <c r="BA86" s="727">
        <v>100</v>
      </c>
      <c r="BB86" s="727">
        <v>100</v>
      </c>
      <c r="BC86" s="727">
        <v>100</v>
      </c>
      <c r="BD86" s="727">
        <v>100</v>
      </c>
      <c r="BE86" s="727">
        <v>100</v>
      </c>
    </row>
    <row r="87" spans="1:57" ht="45.95" customHeight="1">
      <c r="A87" s="718" t="s">
        <v>99</v>
      </c>
      <c r="B87" s="747" t="s">
        <v>519</v>
      </c>
      <c r="C87" s="736">
        <v>100</v>
      </c>
      <c r="D87" s="731">
        <f t="shared" si="13"/>
        <v>3.9261876717707103E-2</v>
      </c>
      <c r="E87" s="744"/>
      <c r="F87" s="728"/>
      <c r="G87" s="736"/>
      <c r="H87" s="736"/>
      <c r="I87" s="736"/>
      <c r="J87" s="728"/>
      <c r="K87" s="728"/>
      <c r="L87" s="728"/>
      <c r="M87" s="728"/>
      <c r="N87" s="728"/>
      <c r="O87" s="728"/>
      <c r="P87" s="728"/>
      <c r="Q87" s="728"/>
      <c r="R87" s="733">
        <v>50</v>
      </c>
      <c r="S87" s="733">
        <v>75</v>
      </c>
      <c r="T87" s="733">
        <v>100</v>
      </c>
      <c r="U87" s="727">
        <v>100</v>
      </c>
      <c r="V87" s="727">
        <v>100</v>
      </c>
      <c r="W87" s="727">
        <v>100</v>
      </c>
      <c r="X87" s="727">
        <v>100</v>
      </c>
      <c r="Y87" s="727">
        <v>100</v>
      </c>
      <c r="Z87" s="727">
        <v>100</v>
      </c>
      <c r="AA87" s="727">
        <v>100</v>
      </c>
      <c r="AB87" s="727">
        <v>100</v>
      </c>
      <c r="AC87" s="727">
        <v>100</v>
      </c>
      <c r="AD87" s="727">
        <v>100</v>
      </c>
      <c r="AE87" s="727">
        <v>100</v>
      </c>
      <c r="AF87" s="727">
        <v>100</v>
      </c>
      <c r="AG87" s="727">
        <v>100</v>
      </c>
      <c r="AH87" s="727">
        <v>100</v>
      </c>
      <c r="AI87" s="727">
        <v>100</v>
      </c>
      <c r="AJ87" s="727">
        <v>100</v>
      </c>
      <c r="AK87" s="727">
        <v>100</v>
      </c>
      <c r="AL87" s="727">
        <v>100</v>
      </c>
      <c r="AM87" s="727">
        <v>100</v>
      </c>
      <c r="AN87" s="727">
        <v>100</v>
      </c>
      <c r="AO87" s="727">
        <v>100</v>
      </c>
      <c r="AP87" s="727">
        <v>100</v>
      </c>
      <c r="AQ87" s="727">
        <v>100</v>
      </c>
      <c r="AR87" s="727">
        <v>100</v>
      </c>
      <c r="AS87" s="727">
        <v>100</v>
      </c>
      <c r="AT87" s="727">
        <v>100</v>
      </c>
      <c r="AU87" s="727">
        <v>100</v>
      </c>
      <c r="AV87" s="727">
        <v>100</v>
      </c>
      <c r="AW87" s="727">
        <v>100</v>
      </c>
      <c r="AX87" s="727">
        <v>100</v>
      </c>
      <c r="AY87" s="727">
        <v>100</v>
      </c>
      <c r="AZ87" s="727">
        <v>100</v>
      </c>
      <c r="BA87" s="727">
        <v>100</v>
      </c>
      <c r="BB87" s="727">
        <v>100</v>
      </c>
      <c r="BC87" s="727">
        <v>100</v>
      </c>
      <c r="BD87" s="727">
        <v>100</v>
      </c>
      <c r="BE87" s="727">
        <v>100</v>
      </c>
    </row>
    <row r="88" spans="1:57" ht="45.95" customHeight="1">
      <c r="A88" s="718" t="s">
        <v>471</v>
      </c>
      <c r="B88" s="747" t="s">
        <v>520</v>
      </c>
      <c r="C88" s="736">
        <v>68</v>
      </c>
      <c r="D88" s="731">
        <f t="shared" si="13"/>
        <v>2.6698076168040832E-2</v>
      </c>
      <c r="E88" s="744"/>
      <c r="F88" s="728"/>
      <c r="G88" s="736"/>
      <c r="H88" s="736"/>
      <c r="I88" s="736"/>
      <c r="J88" s="728"/>
      <c r="K88" s="728"/>
      <c r="L88" s="728"/>
      <c r="M88" s="728"/>
      <c r="N88" s="728"/>
      <c r="O88" s="728"/>
      <c r="P88" s="728"/>
      <c r="Q88" s="728"/>
      <c r="R88" s="728"/>
      <c r="S88" s="728"/>
      <c r="T88" s="733">
        <v>75</v>
      </c>
      <c r="U88" s="733">
        <v>100</v>
      </c>
      <c r="V88" s="727">
        <v>100</v>
      </c>
      <c r="W88" s="727">
        <v>100</v>
      </c>
      <c r="X88" s="727">
        <v>100</v>
      </c>
      <c r="Y88" s="727">
        <v>100</v>
      </c>
      <c r="Z88" s="727">
        <v>100</v>
      </c>
      <c r="AA88" s="727">
        <v>100</v>
      </c>
      <c r="AB88" s="727">
        <v>100</v>
      </c>
      <c r="AC88" s="727">
        <v>100</v>
      </c>
      <c r="AD88" s="727">
        <v>100</v>
      </c>
      <c r="AE88" s="727">
        <v>100</v>
      </c>
      <c r="AF88" s="727">
        <v>100</v>
      </c>
      <c r="AG88" s="727">
        <v>100</v>
      </c>
      <c r="AH88" s="727">
        <v>100</v>
      </c>
      <c r="AI88" s="727">
        <v>100</v>
      </c>
      <c r="AJ88" s="727">
        <v>100</v>
      </c>
      <c r="AK88" s="727">
        <v>100</v>
      </c>
      <c r="AL88" s="727">
        <v>100</v>
      </c>
      <c r="AM88" s="727">
        <v>100</v>
      </c>
      <c r="AN88" s="727">
        <v>100</v>
      </c>
      <c r="AO88" s="727">
        <v>100</v>
      </c>
      <c r="AP88" s="727">
        <v>100</v>
      </c>
      <c r="AQ88" s="727">
        <v>100</v>
      </c>
      <c r="AR88" s="727">
        <v>100</v>
      </c>
      <c r="AS88" s="727">
        <v>100</v>
      </c>
      <c r="AT88" s="727">
        <v>100</v>
      </c>
      <c r="AU88" s="727">
        <v>100</v>
      </c>
      <c r="AV88" s="727">
        <v>100</v>
      </c>
      <c r="AW88" s="727">
        <v>100</v>
      </c>
      <c r="AX88" s="727">
        <v>100</v>
      </c>
      <c r="AY88" s="727">
        <v>100</v>
      </c>
      <c r="AZ88" s="727">
        <v>100</v>
      </c>
      <c r="BA88" s="727">
        <v>100</v>
      </c>
      <c r="BB88" s="727">
        <v>100</v>
      </c>
      <c r="BC88" s="727">
        <v>100</v>
      </c>
      <c r="BD88" s="727">
        <v>100</v>
      </c>
      <c r="BE88" s="727">
        <v>100</v>
      </c>
    </row>
    <row r="89" spans="1:57" ht="45.95" customHeight="1">
      <c r="A89" s="741" t="s">
        <v>472</v>
      </c>
      <c r="B89" s="745" t="s">
        <v>521</v>
      </c>
      <c r="C89" s="736">
        <v>40</v>
      </c>
      <c r="D89" s="731">
        <f t="shared" si="13"/>
        <v>1.5704750687082842E-2</v>
      </c>
      <c r="E89" s="744"/>
      <c r="F89" s="736"/>
      <c r="G89" s="736"/>
      <c r="H89" s="736"/>
      <c r="I89" s="736"/>
      <c r="J89" s="736"/>
      <c r="K89" s="736"/>
      <c r="L89" s="736"/>
      <c r="M89" s="736"/>
      <c r="N89" s="736"/>
      <c r="O89" s="736"/>
      <c r="P89" s="736"/>
      <c r="Q89" s="736"/>
      <c r="R89" s="736"/>
      <c r="S89" s="736"/>
      <c r="T89" s="736"/>
      <c r="U89" s="736"/>
      <c r="V89" s="733">
        <v>100</v>
      </c>
      <c r="W89" s="727">
        <v>100</v>
      </c>
      <c r="X89" s="727">
        <v>100</v>
      </c>
      <c r="Y89" s="727">
        <v>100</v>
      </c>
      <c r="Z89" s="727">
        <v>100</v>
      </c>
      <c r="AA89" s="727">
        <v>100</v>
      </c>
      <c r="AB89" s="727">
        <v>100</v>
      </c>
      <c r="AC89" s="727">
        <v>100</v>
      </c>
      <c r="AD89" s="727">
        <v>100</v>
      </c>
      <c r="AE89" s="727">
        <v>100</v>
      </c>
      <c r="AF89" s="727">
        <v>100</v>
      </c>
      <c r="AG89" s="727">
        <v>100</v>
      </c>
      <c r="AH89" s="727">
        <v>100</v>
      </c>
      <c r="AI89" s="727">
        <v>100</v>
      </c>
      <c r="AJ89" s="727">
        <v>100</v>
      </c>
      <c r="AK89" s="727">
        <v>100</v>
      </c>
      <c r="AL89" s="727">
        <v>100</v>
      </c>
      <c r="AM89" s="727">
        <v>100</v>
      </c>
      <c r="AN89" s="727">
        <v>100</v>
      </c>
      <c r="AO89" s="727">
        <v>100</v>
      </c>
      <c r="AP89" s="727">
        <v>100</v>
      </c>
      <c r="AQ89" s="727">
        <v>100</v>
      </c>
      <c r="AR89" s="727">
        <v>100</v>
      </c>
      <c r="AS89" s="727">
        <v>100</v>
      </c>
      <c r="AT89" s="727">
        <v>100</v>
      </c>
      <c r="AU89" s="727">
        <v>100</v>
      </c>
      <c r="AV89" s="727">
        <v>100</v>
      </c>
      <c r="AW89" s="727">
        <v>100</v>
      </c>
      <c r="AX89" s="727">
        <v>100</v>
      </c>
      <c r="AY89" s="727">
        <v>100</v>
      </c>
      <c r="AZ89" s="727">
        <v>100</v>
      </c>
      <c r="BA89" s="727">
        <v>100</v>
      </c>
      <c r="BB89" s="727">
        <v>100</v>
      </c>
      <c r="BC89" s="727">
        <v>100</v>
      </c>
      <c r="BD89" s="727">
        <v>100</v>
      </c>
      <c r="BE89" s="727">
        <v>100</v>
      </c>
    </row>
    <row r="90" spans="1:57" ht="45.95" customHeight="1">
      <c r="A90" s="718"/>
      <c r="B90" s="748" t="s">
        <v>522</v>
      </c>
      <c r="C90" s="736"/>
      <c r="D90" s="728"/>
      <c r="E90" s="728"/>
      <c r="F90" s="728"/>
      <c r="G90" s="736"/>
      <c r="H90" s="736"/>
      <c r="I90" s="736"/>
      <c r="J90" s="728"/>
      <c r="K90" s="728"/>
      <c r="L90" s="728"/>
      <c r="M90" s="728"/>
      <c r="N90" s="728"/>
      <c r="O90" s="728"/>
      <c r="P90" s="728"/>
      <c r="Q90" s="728"/>
      <c r="R90" s="728"/>
      <c r="S90" s="728"/>
      <c r="T90" s="728"/>
      <c r="U90" s="728"/>
      <c r="V90" s="728"/>
      <c r="W90" s="728"/>
      <c r="X90" s="728"/>
      <c r="Y90" s="728"/>
      <c r="Z90" s="728"/>
      <c r="AA90" s="728"/>
      <c r="AB90" s="728"/>
      <c r="AC90" s="728"/>
      <c r="AD90" s="728"/>
      <c r="AE90" s="728"/>
      <c r="AF90" s="728"/>
      <c r="AG90" s="728"/>
      <c r="AH90" s="728"/>
      <c r="AI90" s="728"/>
      <c r="AJ90" s="728"/>
      <c r="AK90" s="728"/>
      <c r="AL90" s="728"/>
      <c r="AM90" s="728"/>
      <c r="AN90" s="728"/>
      <c r="AO90" s="728"/>
      <c r="AP90" s="728"/>
      <c r="AQ90" s="728"/>
      <c r="AR90" s="728"/>
      <c r="AS90" s="728"/>
      <c r="AT90" s="728"/>
      <c r="AU90" s="727"/>
      <c r="AV90" s="727"/>
      <c r="AW90" s="727"/>
      <c r="AX90" s="727"/>
      <c r="AY90" s="727"/>
      <c r="AZ90" s="727"/>
      <c r="BA90" s="727"/>
      <c r="BB90" s="727"/>
      <c r="BC90" s="727"/>
      <c r="BD90" s="727"/>
      <c r="BE90" s="727"/>
    </row>
    <row r="91" spans="1:57" ht="45.95" customHeight="1">
      <c r="A91" s="741" t="s">
        <v>473</v>
      </c>
      <c r="B91" s="745" t="s">
        <v>523</v>
      </c>
      <c r="C91" s="736">
        <v>48</v>
      </c>
      <c r="D91" s="731">
        <f>C91/$C$104</f>
        <v>1.884570082449941E-2</v>
      </c>
      <c r="E91" s="744">
        <v>0</v>
      </c>
      <c r="F91" s="736"/>
      <c r="G91" s="736"/>
      <c r="H91" s="733">
        <v>20</v>
      </c>
      <c r="I91" s="733">
        <v>20</v>
      </c>
      <c r="J91" s="733">
        <v>35</v>
      </c>
      <c r="K91" s="733">
        <v>35</v>
      </c>
      <c r="L91" s="733">
        <v>35</v>
      </c>
      <c r="M91" s="733">
        <v>35</v>
      </c>
      <c r="N91" s="733">
        <v>50</v>
      </c>
      <c r="O91" s="733">
        <v>50</v>
      </c>
      <c r="P91" s="733">
        <v>50</v>
      </c>
      <c r="Q91" s="733">
        <v>50</v>
      </c>
      <c r="R91" s="733">
        <v>50</v>
      </c>
      <c r="S91" s="733">
        <v>50</v>
      </c>
      <c r="T91" s="733">
        <v>50</v>
      </c>
      <c r="U91" s="733">
        <v>75</v>
      </c>
      <c r="V91" s="733">
        <v>100</v>
      </c>
      <c r="W91" s="727">
        <v>100</v>
      </c>
      <c r="X91" s="727">
        <v>100</v>
      </c>
      <c r="Y91" s="727">
        <v>100</v>
      </c>
      <c r="Z91" s="727">
        <v>100</v>
      </c>
      <c r="AA91" s="727">
        <v>100</v>
      </c>
      <c r="AB91" s="727">
        <v>100</v>
      </c>
      <c r="AC91" s="727">
        <v>100</v>
      </c>
      <c r="AD91" s="727">
        <v>100</v>
      </c>
      <c r="AE91" s="727">
        <v>100</v>
      </c>
      <c r="AF91" s="727">
        <v>100</v>
      </c>
      <c r="AG91" s="727">
        <v>100</v>
      </c>
      <c r="AH91" s="727">
        <v>100</v>
      </c>
      <c r="AI91" s="727">
        <v>100</v>
      </c>
      <c r="AJ91" s="727">
        <v>100</v>
      </c>
      <c r="AK91" s="727">
        <v>100</v>
      </c>
      <c r="AL91" s="727">
        <v>100</v>
      </c>
      <c r="AM91" s="727">
        <v>100</v>
      </c>
      <c r="AN91" s="727">
        <v>100</v>
      </c>
      <c r="AO91" s="727">
        <v>100</v>
      </c>
      <c r="AP91" s="727">
        <v>100</v>
      </c>
      <c r="AQ91" s="727">
        <v>100</v>
      </c>
      <c r="AR91" s="727">
        <v>100</v>
      </c>
      <c r="AS91" s="727">
        <v>100</v>
      </c>
      <c r="AT91" s="727">
        <v>100</v>
      </c>
      <c r="AU91" s="727">
        <v>100</v>
      </c>
      <c r="AV91" s="727">
        <v>100</v>
      </c>
      <c r="AW91" s="727">
        <v>100</v>
      </c>
      <c r="AX91" s="727">
        <v>100</v>
      </c>
      <c r="AY91" s="727">
        <v>100</v>
      </c>
      <c r="AZ91" s="727">
        <v>100</v>
      </c>
      <c r="BA91" s="727">
        <v>100</v>
      </c>
      <c r="BB91" s="727">
        <v>100</v>
      </c>
      <c r="BC91" s="727">
        <v>100</v>
      </c>
      <c r="BD91" s="727">
        <v>100</v>
      </c>
      <c r="BE91" s="727">
        <v>100</v>
      </c>
    </row>
    <row r="92" spans="1:57" ht="45.95" customHeight="1">
      <c r="A92" s="718"/>
      <c r="B92" s="748" t="s">
        <v>524</v>
      </c>
      <c r="C92" s="736"/>
      <c r="D92" s="728"/>
      <c r="E92" s="728"/>
      <c r="F92" s="728"/>
      <c r="G92" s="736"/>
      <c r="H92" s="736"/>
      <c r="I92" s="736"/>
      <c r="J92" s="728"/>
      <c r="K92" s="728"/>
      <c r="L92" s="728"/>
      <c r="M92" s="728"/>
      <c r="N92" s="728"/>
      <c r="O92" s="728"/>
      <c r="P92" s="728"/>
      <c r="Q92" s="728"/>
      <c r="R92" s="728"/>
      <c r="S92" s="728"/>
      <c r="T92" s="728"/>
      <c r="U92" s="728"/>
      <c r="V92" s="728"/>
      <c r="W92" s="728"/>
      <c r="X92" s="728"/>
      <c r="Y92" s="728"/>
      <c r="Z92" s="728"/>
      <c r="AA92" s="728"/>
      <c r="AB92" s="728"/>
      <c r="AC92" s="728"/>
      <c r="AD92" s="728"/>
      <c r="AE92" s="728"/>
      <c r="AF92" s="728"/>
      <c r="AG92" s="728"/>
      <c r="AH92" s="728"/>
      <c r="AI92" s="728"/>
      <c r="AJ92" s="728"/>
      <c r="AK92" s="728"/>
      <c r="AL92" s="728"/>
      <c r="AM92" s="728"/>
      <c r="AN92" s="728"/>
      <c r="AO92" s="728"/>
      <c r="AP92" s="728"/>
      <c r="AQ92" s="728"/>
      <c r="AR92" s="728"/>
      <c r="AS92" s="728"/>
      <c r="AT92" s="728"/>
      <c r="AU92" s="727"/>
      <c r="AV92" s="727"/>
      <c r="AW92" s="727"/>
      <c r="AX92" s="727"/>
      <c r="AY92" s="727"/>
      <c r="AZ92" s="727"/>
      <c r="BA92" s="727"/>
      <c r="BB92" s="727"/>
      <c r="BC92" s="727"/>
      <c r="BD92" s="727"/>
      <c r="BE92" s="727"/>
    </row>
    <row r="93" spans="1:57" ht="45.95" customHeight="1">
      <c r="A93" s="718" t="s">
        <v>525</v>
      </c>
      <c r="B93" s="747" t="s">
        <v>526</v>
      </c>
      <c r="C93" s="736">
        <v>116</v>
      </c>
      <c r="D93" s="731">
        <f>C93/$C$104</f>
        <v>4.5543776992540246E-2</v>
      </c>
      <c r="E93" s="744"/>
      <c r="F93" s="728"/>
      <c r="G93" s="728"/>
      <c r="H93" s="728"/>
      <c r="I93" s="728"/>
      <c r="J93" s="728"/>
      <c r="K93" s="728"/>
      <c r="L93" s="728"/>
      <c r="M93" s="728"/>
      <c r="N93" s="728"/>
      <c r="O93" s="733">
        <v>75</v>
      </c>
      <c r="P93" s="733">
        <v>100</v>
      </c>
      <c r="Q93" s="727">
        <v>100</v>
      </c>
      <c r="R93" s="727">
        <v>100</v>
      </c>
      <c r="S93" s="727">
        <v>100</v>
      </c>
      <c r="T93" s="727">
        <v>100</v>
      </c>
      <c r="U93" s="727">
        <v>100</v>
      </c>
      <c r="V93" s="727">
        <v>100</v>
      </c>
      <c r="W93" s="727">
        <v>100</v>
      </c>
      <c r="X93" s="727">
        <v>100</v>
      </c>
      <c r="Y93" s="727">
        <v>100</v>
      </c>
      <c r="Z93" s="727">
        <v>100</v>
      </c>
      <c r="AA93" s="727">
        <v>100</v>
      </c>
      <c r="AB93" s="727">
        <v>100</v>
      </c>
      <c r="AC93" s="727">
        <v>100</v>
      </c>
      <c r="AD93" s="727">
        <v>100</v>
      </c>
      <c r="AE93" s="727">
        <v>100</v>
      </c>
      <c r="AF93" s="727">
        <v>100</v>
      </c>
      <c r="AG93" s="727">
        <v>100</v>
      </c>
      <c r="AH93" s="727">
        <v>100</v>
      </c>
      <c r="AI93" s="727">
        <v>100</v>
      </c>
      <c r="AJ93" s="727">
        <v>100</v>
      </c>
      <c r="AK93" s="727">
        <v>100</v>
      </c>
      <c r="AL93" s="727">
        <v>100</v>
      </c>
      <c r="AM93" s="727">
        <v>100</v>
      </c>
      <c r="AN93" s="727">
        <v>100</v>
      </c>
      <c r="AO93" s="727">
        <v>100</v>
      </c>
      <c r="AP93" s="727">
        <v>100</v>
      </c>
      <c r="AQ93" s="727">
        <v>100</v>
      </c>
      <c r="AR93" s="727">
        <v>100</v>
      </c>
      <c r="AS93" s="727">
        <v>100</v>
      </c>
      <c r="AT93" s="727">
        <v>100</v>
      </c>
      <c r="AU93" s="727">
        <v>100</v>
      </c>
      <c r="AV93" s="727">
        <v>100</v>
      </c>
      <c r="AW93" s="727">
        <v>100</v>
      </c>
      <c r="AX93" s="727">
        <v>100</v>
      </c>
      <c r="AY93" s="727">
        <v>100</v>
      </c>
      <c r="AZ93" s="727">
        <v>100</v>
      </c>
      <c r="BA93" s="727">
        <v>100</v>
      </c>
      <c r="BB93" s="727">
        <v>100</v>
      </c>
      <c r="BC93" s="727">
        <v>100</v>
      </c>
      <c r="BD93" s="727">
        <v>100</v>
      </c>
      <c r="BE93" s="727">
        <v>100</v>
      </c>
    </row>
    <row r="94" spans="1:57" ht="45.95" customHeight="1">
      <c r="A94" s="718" t="s">
        <v>474</v>
      </c>
      <c r="B94" s="747" t="s">
        <v>527</v>
      </c>
      <c r="C94" s="736">
        <v>66</v>
      </c>
      <c r="D94" s="731">
        <f>C94/$C$104</f>
        <v>2.591283863368669E-2</v>
      </c>
      <c r="E94" s="744"/>
      <c r="F94" s="728"/>
      <c r="G94" s="728"/>
      <c r="H94" s="728"/>
      <c r="I94" s="728"/>
      <c r="J94" s="728"/>
      <c r="K94" s="728"/>
      <c r="L94" s="728"/>
      <c r="M94" s="728"/>
      <c r="N94" s="728"/>
      <c r="O94" s="728"/>
      <c r="P94" s="733">
        <v>75</v>
      </c>
      <c r="Q94" s="733">
        <v>100</v>
      </c>
      <c r="R94" s="727">
        <v>100</v>
      </c>
      <c r="S94" s="727">
        <v>100</v>
      </c>
      <c r="T94" s="727">
        <v>100</v>
      </c>
      <c r="U94" s="727">
        <v>100</v>
      </c>
      <c r="V94" s="727">
        <v>100</v>
      </c>
      <c r="W94" s="727">
        <v>100</v>
      </c>
      <c r="X94" s="727">
        <v>100</v>
      </c>
      <c r="Y94" s="727">
        <v>100</v>
      </c>
      <c r="Z94" s="727">
        <v>100</v>
      </c>
      <c r="AA94" s="727">
        <v>100</v>
      </c>
      <c r="AB94" s="727">
        <v>100</v>
      </c>
      <c r="AC94" s="727">
        <v>100</v>
      </c>
      <c r="AD94" s="727">
        <v>100</v>
      </c>
      <c r="AE94" s="727">
        <v>100</v>
      </c>
      <c r="AF94" s="727">
        <v>100</v>
      </c>
      <c r="AG94" s="727">
        <v>100</v>
      </c>
      <c r="AH94" s="727">
        <v>100</v>
      </c>
      <c r="AI94" s="727">
        <v>100</v>
      </c>
      <c r="AJ94" s="727">
        <v>100</v>
      </c>
      <c r="AK94" s="727">
        <v>100</v>
      </c>
      <c r="AL94" s="727">
        <v>100</v>
      </c>
      <c r="AM94" s="727">
        <v>100</v>
      </c>
      <c r="AN94" s="727">
        <v>100</v>
      </c>
      <c r="AO94" s="727">
        <v>100</v>
      </c>
      <c r="AP94" s="727">
        <v>100</v>
      </c>
      <c r="AQ94" s="727">
        <v>100</v>
      </c>
      <c r="AR94" s="727">
        <v>100</v>
      </c>
      <c r="AS94" s="727">
        <v>100</v>
      </c>
      <c r="AT94" s="727">
        <v>100</v>
      </c>
      <c r="AU94" s="727">
        <v>100</v>
      </c>
      <c r="AV94" s="727">
        <v>100</v>
      </c>
      <c r="AW94" s="727">
        <v>100</v>
      </c>
      <c r="AX94" s="727">
        <v>100</v>
      </c>
      <c r="AY94" s="727">
        <v>100</v>
      </c>
      <c r="AZ94" s="727">
        <v>100</v>
      </c>
      <c r="BA94" s="727">
        <v>100</v>
      </c>
      <c r="BB94" s="727">
        <v>100</v>
      </c>
      <c r="BC94" s="727">
        <v>100</v>
      </c>
      <c r="BD94" s="727">
        <v>100</v>
      </c>
      <c r="BE94" s="727">
        <v>100</v>
      </c>
    </row>
    <row r="95" spans="1:57" ht="45.95" customHeight="1">
      <c r="A95" s="718"/>
      <c r="B95" s="748" t="s">
        <v>528</v>
      </c>
      <c r="C95" s="736"/>
      <c r="D95" s="728"/>
      <c r="E95" s="728"/>
      <c r="F95" s="728"/>
      <c r="G95" s="728"/>
      <c r="H95" s="728"/>
      <c r="I95" s="728"/>
      <c r="J95" s="728"/>
      <c r="K95" s="728"/>
      <c r="L95" s="728"/>
      <c r="M95" s="728"/>
      <c r="N95" s="728"/>
      <c r="O95" s="728"/>
      <c r="P95" s="728"/>
      <c r="Q95" s="728"/>
      <c r="R95" s="728"/>
      <c r="S95" s="728"/>
      <c r="T95" s="728"/>
      <c r="U95" s="728"/>
      <c r="V95" s="728"/>
      <c r="W95" s="728"/>
      <c r="X95" s="728"/>
      <c r="Y95" s="728"/>
      <c r="Z95" s="728"/>
      <c r="AA95" s="728"/>
      <c r="AB95" s="728"/>
      <c r="AC95" s="728"/>
      <c r="AD95" s="728"/>
      <c r="AE95" s="728"/>
      <c r="AF95" s="728"/>
      <c r="AG95" s="728"/>
      <c r="AH95" s="728"/>
      <c r="AI95" s="728"/>
      <c r="AJ95" s="728"/>
      <c r="AK95" s="728"/>
      <c r="AL95" s="728"/>
      <c r="AM95" s="728"/>
      <c r="AN95" s="728"/>
      <c r="AO95" s="728"/>
      <c r="AP95" s="728"/>
      <c r="AQ95" s="728"/>
      <c r="AR95" s="728"/>
      <c r="AS95" s="728"/>
      <c r="AT95" s="728"/>
      <c r="AU95" s="727"/>
      <c r="AV95" s="727"/>
      <c r="AW95" s="727"/>
      <c r="AX95" s="727"/>
      <c r="AY95" s="727"/>
      <c r="AZ95" s="727"/>
      <c r="BA95" s="727"/>
      <c r="BB95" s="727"/>
      <c r="BC95" s="727"/>
      <c r="BD95" s="727"/>
      <c r="BE95" s="727"/>
    </row>
    <row r="96" spans="1:57" ht="45.95" customHeight="1">
      <c r="A96" s="718" t="s">
        <v>475</v>
      </c>
      <c r="B96" s="747" t="s">
        <v>529</v>
      </c>
      <c r="C96" s="736">
        <v>36</v>
      </c>
      <c r="D96" s="731">
        <f>C96/$C$104</f>
        <v>1.4134275618374558E-2</v>
      </c>
      <c r="E96" s="744"/>
      <c r="F96" s="728"/>
      <c r="G96" s="728"/>
      <c r="H96" s="728"/>
      <c r="I96" s="728"/>
      <c r="J96" s="728"/>
      <c r="K96" s="728"/>
      <c r="L96" s="728"/>
      <c r="M96" s="733">
        <v>100</v>
      </c>
      <c r="N96" s="727">
        <v>100</v>
      </c>
      <c r="O96" s="727">
        <v>100</v>
      </c>
      <c r="P96" s="727">
        <v>100</v>
      </c>
      <c r="Q96" s="727">
        <v>100</v>
      </c>
      <c r="R96" s="727">
        <v>100</v>
      </c>
      <c r="S96" s="727">
        <v>100</v>
      </c>
      <c r="T96" s="727">
        <v>100</v>
      </c>
      <c r="U96" s="727">
        <v>100</v>
      </c>
      <c r="V96" s="727">
        <v>100</v>
      </c>
      <c r="W96" s="727">
        <v>100</v>
      </c>
      <c r="X96" s="727">
        <v>100</v>
      </c>
      <c r="Y96" s="727">
        <v>100</v>
      </c>
      <c r="Z96" s="727">
        <v>100</v>
      </c>
      <c r="AA96" s="727">
        <v>100</v>
      </c>
      <c r="AB96" s="727">
        <v>100</v>
      </c>
      <c r="AC96" s="727">
        <v>100</v>
      </c>
      <c r="AD96" s="727">
        <v>100</v>
      </c>
      <c r="AE96" s="727">
        <v>100</v>
      </c>
      <c r="AF96" s="727">
        <v>100</v>
      </c>
      <c r="AG96" s="727">
        <v>100</v>
      </c>
      <c r="AH96" s="727">
        <v>100</v>
      </c>
      <c r="AI96" s="727">
        <v>100</v>
      </c>
      <c r="AJ96" s="727">
        <v>100</v>
      </c>
      <c r="AK96" s="727">
        <v>100</v>
      </c>
      <c r="AL96" s="727">
        <v>100</v>
      </c>
      <c r="AM96" s="727">
        <v>100</v>
      </c>
      <c r="AN96" s="727">
        <v>100</v>
      </c>
      <c r="AO96" s="727">
        <v>100</v>
      </c>
      <c r="AP96" s="727">
        <v>100</v>
      </c>
      <c r="AQ96" s="727">
        <v>100</v>
      </c>
      <c r="AR96" s="727">
        <v>100</v>
      </c>
      <c r="AS96" s="727">
        <v>100</v>
      </c>
      <c r="AT96" s="727">
        <v>100</v>
      </c>
      <c r="AU96" s="727">
        <v>100</v>
      </c>
      <c r="AV96" s="727">
        <v>100</v>
      </c>
      <c r="AW96" s="727">
        <v>100</v>
      </c>
      <c r="AX96" s="727">
        <v>100</v>
      </c>
      <c r="AY96" s="727">
        <v>100</v>
      </c>
      <c r="AZ96" s="727">
        <v>100</v>
      </c>
      <c r="BA96" s="727">
        <v>100</v>
      </c>
      <c r="BB96" s="727">
        <v>100</v>
      </c>
      <c r="BC96" s="727">
        <v>100</v>
      </c>
      <c r="BD96" s="727">
        <v>100</v>
      </c>
      <c r="BE96" s="727">
        <v>100</v>
      </c>
    </row>
    <row r="97" spans="1:57" ht="45.95" customHeight="1">
      <c r="A97" s="741" t="s">
        <v>476</v>
      </c>
      <c r="B97" s="745" t="s">
        <v>530</v>
      </c>
      <c r="C97" s="736">
        <v>26</v>
      </c>
      <c r="D97" s="731">
        <f>C97/$C$104</f>
        <v>1.0208087946603848E-2</v>
      </c>
      <c r="E97" s="744"/>
      <c r="F97" s="736"/>
      <c r="G97" s="736"/>
      <c r="H97" s="736"/>
      <c r="I97" s="736"/>
      <c r="J97" s="736"/>
      <c r="K97" s="736"/>
      <c r="L97" s="736"/>
      <c r="M97" s="733">
        <v>100</v>
      </c>
      <c r="N97" s="727">
        <v>100</v>
      </c>
      <c r="O97" s="727">
        <v>100</v>
      </c>
      <c r="P97" s="727">
        <v>100</v>
      </c>
      <c r="Q97" s="727">
        <v>100</v>
      </c>
      <c r="R97" s="727">
        <v>100</v>
      </c>
      <c r="S97" s="727">
        <v>100</v>
      </c>
      <c r="T97" s="727">
        <v>100</v>
      </c>
      <c r="U97" s="727">
        <v>100</v>
      </c>
      <c r="V97" s="727">
        <v>100</v>
      </c>
      <c r="W97" s="727">
        <v>100</v>
      </c>
      <c r="X97" s="727">
        <v>100</v>
      </c>
      <c r="Y97" s="727">
        <v>100</v>
      </c>
      <c r="Z97" s="727">
        <v>100</v>
      </c>
      <c r="AA97" s="727">
        <v>100</v>
      </c>
      <c r="AB97" s="727">
        <v>100</v>
      </c>
      <c r="AC97" s="727">
        <v>100</v>
      </c>
      <c r="AD97" s="727">
        <v>100</v>
      </c>
      <c r="AE97" s="727">
        <v>100</v>
      </c>
      <c r="AF97" s="727">
        <v>100</v>
      </c>
      <c r="AG97" s="727">
        <v>100</v>
      </c>
      <c r="AH97" s="727">
        <v>100</v>
      </c>
      <c r="AI97" s="727">
        <v>100</v>
      </c>
      <c r="AJ97" s="727">
        <v>100</v>
      </c>
      <c r="AK97" s="727">
        <v>100</v>
      </c>
      <c r="AL97" s="727">
        <v>100</v>
      </c>
      <c r="AM97" s="727">
        <v>100</v>
      </c>
      <c r="AN97" s="727">
        <v>100</v>
      </c>
      <c r="AO97" s="727">
        <v>100</v>
      </c>
      <c r="AP97" s="727">
        <v>100</v>
      </c>
      <c r="AQ97" s="727">
        <v>100</v>
      </c>
      <c r="AR97" s="727">
        <v>100</v>
      </c>
      <c r="AS97" s="727">
        <v>100</v>
      </c>
      <c r="AT97" s="727">
        <v>100</v>
      </c>
      <c r="AU97" s="727">
        <v>100</v>
      </c>
      <c r="AV97" s="727">
        <v>100</v>
      </c>
      <c r="AW97" s="727">
        <v>100</v>
      </c>
      <c r="AX97" s="727">
        <v>100</v>
      </c>
      <c r="AY97" s="727">
        <v>100</v>
      </c>
      <c r="AZ97" s="727">
        <v>100</v>
      </c>
      <c r="BA97" s="727">
        <v>100</v>
      </c>
      <c r="BB97" s="727">
        <v>100</v>
      </c>
      <c r="BC97" s="727">
        <v>100</v>
      </c>
      <c r="BD97" s="727">
        <v>100</v>
      </c>
      <c r="BE97" s="727">
        <v>100</v>
      </c>
    </row>
    <row r="98" spans="1:57" ht="45.95" customHeight="1">
      <c r="A98" s="741"/>
      <c r="B98" s="746" t="s">
        <v>531</v>
      </c>
      <c r="C98" s="736"/>
      <c r="D98" s="736"/>
      <c r="E98" s="736"/>
      <c r="F98" s="736"/>
      <c r="G98" s="736"/>
      <c r="H98" s="736"/>
      <c r="I98" s="736"/>
      <c r="J98" s="736"/>
      <c r="K98" s="736"/>
      <c r="L98" s="736"/>
      <c r="M98" s="728"/>
      <c r="N98" s="736"/>
      <c r="O98" s="736"/>
      <c r="P98" s="736"/>
      <c r="Q98" s="736"/>
      <c r="R98" s="736"/>
      <c r="S98" s="736"/>
      <c r="T98" s="736"/>
      <c r="U98" s="736"/>
      <c r="V98" s="736"/>
      <c r="W98" s="736"/>
      <c r="X98" s="736"/>
      <c r="Y98" s="736"/>
      <c r="Z98" s="736"/>
      <c r="AA98" s="736"/>
      <c r="AB98" s="736"/>
      <c r="AC98" s="736"/>
      <c r="AD98" s="736"/>
      <c r="AE98" s="736"/>
      <c r="AF98" s="736"/>
      <c r="AG98" s="736"/>
      <c r="AH98" s="736"/>
      <c r="AI98" s="736"/>
      <c r="AJ98" s="736"/>
      <c r="AK98" s="736"/>
      <c r="AL98" s="736"/>
      <c r="AM98" s="736"/>
      <c r="AN98" s="736"/>
      <c r="AO98" s="736"/>
      <c r="AP98" s="736"/>
      <c r="AQ98" s="736"/>
      <c r="AR98" s="736"/>
      <c r="AS98" s="736"/>
      <c r="AT98" s="736"/>
      <c r="AU98" s="742"/>
      <c r="AV98" s="742"/>
      <c r="AW98" s="742"/>
      <c r="AX98" s="742"/>
      <c r="AY98" s="742"/>
      <c r="AZ98" s="742"/>
      <c r="BA98" s="742"/>
      <c r="BB98" s="742"/>
      <c r="BC98" s="742"/>
      <c r="BD98" s="742"/>
      <c r="BE98" s="742"/>
    </row>
    <row r="99" spans="1:57" ht="45.95" customHeight="1">
      <c r="A99" s="718" t="s">
        <v>477</v>
      </c>
      <c r="B99" s="747" t="s">
        <v>532</v>
      </c>
      <c r="C99" s="736">
        <v>32</v>
      </c>
      <c r="D99" s="731">
        <f>C99/$C$104</f>
        <v>1.2563800549666274E-2</v>
      </c>
      <c r="E99" s="744"/>
      <c r="F99" s="728"/>
      <c r="G99" s="728"/>
      <c r="H99" s="728"/>
      <c r="I99" s="728"/>
      <c r="J99" s="728"/>
      <c r="K99" s="728"/>
      <c r="L99" s="728"/>
      <c r="M99" s="728"/>
      <c r="N99" s="728"/>
      <c r="O99" s="728"/>
      <c r="P99" s="728"/>
      <c r="Q99" s="728"/>
      <c r="R99" s="728"/>
      <c r="S99" s="728"/>
      <c r="T99" s="728"/>
      <c r="U99" s="728"/>
      <c r="V99" s="733">
        <v>100</v>
      </c>
      <c r="W99" s="727">
        <v>100</v>
      </c>
      <c r="X99" s="727">
        <v>100</v>
      </c>
      <c r="Y99" s="727">
        <v>100</v>
      </c>
      <c r="Z99" s="727">
        <v>100</v>
      </c>
      <c r="AA99" s="727">
        <v>100</v>
      </c>
      <c r="AB99" s="727">
        <v>100</v>
      </c>
      <c r="AC99" s="727">
        <v>100</v>
      </c>
      <c r="AD99" s="727">
        <v>100</v>
      </c>
      <c r="AE99" s="727">
        <v>100</v>
      </c>
      <c r="AF99" s="727">
        <v>100</v>
      </c>
      <c r="AG99" s="727">
        <v>100</v>
      </c>
      <c r="AH99" s="727">
        <v>100</v>
      </c>
      <c r="AI99" s="727">
        <v>100</v>
      </c>
      <c r="AJ99" s="727">
        <v>100</v>
      </c>
      <c r="AK99" s="727">
        <v>100</v>
      </c>
      <c r="AL99" s="727">
        <v>100</v>
      </c>
      <c r="AM99" s="727">
        <v>100</v>
      </c>
      <c r="AN99" s="727">
        <v>100</v>
      </c>
      <c r="AO99" s="727">
        <v>100</v>
      </c>
      <c r="AP99" s="727">
        <v>100</v>
      </c>
      <c r="AQ99" s="727">
        <v>100</v>
      </c>
      <c r="AR99" s="727">
        <v>100</v>
      </c>
      <c r="AS99" s="727">
        <v>100</v>
      </c>
      <c r="AT99" s="727">
        <v>100</v>
      </c>
      <c r="AU99" s="727">
        <v>100</v>
      </c>
      <c r="AV99" s="727">
        <v>100</v>
      </c>
      <c r="AW99" s="727">
        <v>100</v>
      </c>
      <c r="AX99" s="727">
        <v>100</v>
      </c>
      <c r="AY99" s="727">
        <v>100</v>
      </c>
      <c r="AZ99" s="727">
        <v>100</v>
      </c>
      <c r="BA99" s="727">
        <v>100</v>
      </c>
      <c r="BB99" s="727">
        <v>100</v>
      </c>
      <c r="BC99" s="727">
        <v>100</v>
      </c>
      <c r="BD99" s="727">
        <v>100</v>
      </c>
      <c r="BE99" s="727">
        <v>100</v>
      </c>
    </row>
    <row r="100" spans="1:57" ht="45.95" customHeight="1">
      <c r="A100" s="718" t="s">
        <v>478</v>
      </c>
      <c r="B100" s="749" t="s">
        <v>533</v>
      </c>
      <c r="C100" s="736">
        <v>445</v>
      </c>
      <c r="D100" s="731">
        <f>C100/$C$104</f>
        <v>0.17471535139379663</v>
      </c>
      <c r="E100" s="744"/>
      <c r="F100" s="728"/>
      <c r="G100" s="728"/>
      <c r="H100" s="728"/>
      <c r="I100" s="728"/>
      <c r="J100" s="733">
        <v>10</v>
      </c>
      <c r="K100" s="733">
        <v>15</v>
      </c>
      <c r="L100" s="733">
        <v>20</v>
      </c>
      <c r="M100" s="733">
        <v>25</v>
      </c>
      <c r="N100" s="733">
        <v>30</v>
      </c>
      <c r="O100" s="733">
        <v>35</v>
      </c>
      <c r="P100" s="733">
        <v>40</v>
      </c>
      <c r="Q100" s="733">
        <v>45</v>
      </c>
      <c r="R100" s="733">
        <v>50</v>
      </c>
      <c r="S100" s="733">
        <v>60</v>
      </c>
      <c r="T100" s="733">
        <v>70</v>
      </c>
      <c r="U100" s="733">
        <v>75</v>
      </c>
      <c r="V100" s="733">
        <v>90</v>
      </c>
      <c r="W100" s="733">
        <v>100</v>
      </c>
      <c r="X100" s="727">
        <v>100</v>
      </c>
      <c r="Y100" s="727">
        <v>100</v>
      </c>
      <c r="Z100" s="727">
        <v>100</v>
      </c>
      <c r="AA100" s="727">
        <v>100</v>
      </c>
      <c r="AB100" s="727">
        <v>100</v>
      </c>
      <c r="AC100" s="727">
        <v>100</v>
      </c>
      <c r="AD100" s="727">
        <v>100</v>
      </c>
      <c r="AE100" s="727">
        <v>100</v>
      </c>
      <c r="AF100" s="727">
        <v>100</v>
      </c>
      <c r="AG100" s="727">
        <v>100</v>
      </c>
      <c r="AH100" s="727">
        <v>100</v>
      </c>
      <c r="AI100" s="727">
        <v>100</v>
      </c>
      <c r="AJ100" s="727">
        <v>100</v>
      </c>
      <c r="AK100" s="727">
        <v>100</v>
      </c>
      <c r="AL100" s="727">
        <v>100</v>
      </c>
      <c r="AM100" s="727">
        <v>100</v>
      </c>
      <c r="AN100" s="727">
        <v>100</v>
      </c>
      <c r="AO100" s="727">
        <v>100</v>
      </c>
      <c r="AP100" s="727">
        <v>100</v>
      </c>
      <c r="AQ100" s="727">
        <v>100</v>
      </c>
      <c r="AR100" s="727">
        <v>100</v>
      </c>
      <c r="AS100" s="727">
        <v>100</v>
      </c>
      <c r="AT100" s="727">
        <v>100</v>
      </c>
      <c r="AU100" s="727">
        <v>100</v>
      </c>
      <c r="AV100" s="727">
        <v>100</v>
      </c>
      <c r="AW100" s="727">
        <v>100</v>
      </c>
      <c r="AX100" s="727">
        <v>100</v>
      </c>
      <c r="AY100" s="727">
        <v>100</v>
      </c>
      <c r="AZ100" s="727">
        <v>100</v>
      </c>
      <c r="BA100" s="727">
        <v>100</v>
      </c>
      <c r="BB100" s="727">
        <v>100</v>
      </c>
      <c r="BC100" s="727">
        <v>100</v>
      </c>
      <c r="BD100" s="727">
        <v>100</v>
      </c>
      <c r="BE100" s="727">
        <v>100</v>
      </c>
    </row>
    <row r="101" spans="1:57" ht="45.95" customHeight="1">
      <c r="A101" s="718" t="s">
        <v>479</v>
      </c>
      <c r="B101" s="750" t="s">
        <v>534</v>
      </c>
      <c r="C101" s="736">
        <v>68</v>
      </c>
      <c r="D101" s="731">
        <f>C101/$C$104</f>
        <v>2.6698076168040832E-2</v>
      </c>
      <c r="E101" s="744"/>
      <c r="F101" s="728"/>
      <c r="G101" s="728"/>
      <c r="H101" s="728"/>
      <c r="I101" s="728"/>
      <c r="J101" s="728"/>
      <c r="K101" s="728"/>
      <c r="L101" s="728"/>
      <c r="M101" s="728"/>
      <c r="N101" s="728"/>
      <c r="O101" s="728"/>
      <c r="P101" s="727">
        <v>100</v>
      </c>
      <c r="Q101" s="727">
        <v>100</v>
      </c>
      <c r="R101" s="727">
        <v>100</v>
      </c>
      <c r="S101" s="727">
        <v>100</v>
      </c>
      <c r="T101" s="727">
        <v>100</v>
      </c>
      <c r="U101" s="727">
        <v>100</v>
      </c>
      <c r="V101" s="733">
        <v>50</v>
      </c>
      <c r="W101" s="733">
        <v>100</v>
      </c>
      <c r="X101" s="727">
        <v>100</v>
      </c>
      <c r="Y101" s="727">
        <v>100</v>
      </c>
      <c r="Z101" s="727">
        <v>100</v>
      </c>
      <c r="AA101" s="727">
        <v>100</v>
      </c>
      <c r="AB101" s="727">
        <v>100</v>
      </c>
      <c r="AC101" s="727">
        <v>100</v>
      </c>
      <c r="AD101" s="727">
        <v>100</v>
      </c>
      <c r="AE101" s="727">
        <v>100</v>
      </c>
      <c r="AF101" s="727">
        <v>100</v>
      </c>
      <c r="AG101" s="727">
        <v>100</v>
      </c>
      <c r="AH101" s="727">
        <v>100</v>
      </c>
      <c r="AI101" s="727">
        <v>100</v>
      </c>
      <c r="AJ101" s="727">
        <v>100</v>
      </c>
      <c r="AK101" s="727">
        <v>100</v>
      </c>
      <c r="AL101" s="727">
        <v>100</v>
      </c>
      <c r="AM101" s="727">
        <v>100</v>
      </c>
      <c r="AN101" s="727">
        <v>100</v>
      </c>
      <c r="AO101" s="727">
        <v>100</v>
      </c>
      <c r="AP101" s="727">
        <v>100</v>
      </c>
      <c r="AQ101" s="727">
        <v>100</v>
      </c>
      <c r="AR101" s="727">
        <v>100</v>
      </c>
      <c r="AS101" s="727">
        <v>100</v>
      </c>
      <c r="AT101" s="727">
        <v>100</v>
      </c>
      <c r="AU101" s="727">
        <v>100</v>
      </c>
      <c r="AV101" s="727">
        <v>100</v>
      </c>
      <c r="AW101" s="727">
        <v>100</v>
      </c>
      <c r="AX101" s="727">
        <v>100</v>
      </c>
      <c r="AY101" s="727">
        <v>100</v>
      </c>
      <c r="AZ101" s="727">
        <v>100</v>
      </c>
      <c r="BA101" s="727">
        <v>100</v>
      </c>
      <c r="BB101" s="727">
        <v>100</v>
      </c>
      <c r="BC101" s="727">
        <v>100</v>
      </c>
      <c r="BD101" s="727">
        <v>100</v>
      </c>
      <c r="BE101" s="727">
        <v>100</v>
      </c>
    </row>
    <row r="102" spans="1:57" ht="45.95" customHeight="1">
      <c r="A102" s="718"/>
      <c r="B102" s="797"/>
      <c r="C102" s="736"/>
      <c r="D102" s="731"/>
      <c r="E102" s="744"/>
      <c r="F102" s="728"/>
      <c r="G102" s="728"/>
      <c r="H102" s="728"/>
      <c r="I102" s="728"/>
      <c r="J102" s="728"/>
      <c r="K102" s="728"/>
      <c r="L102" s="728"/>
      <c r="M102" s="728"/>
      <c r="N102" s="728"/>
      <c r="O102" s="728"/>
      <c r="P102" s="728"/>
      <c r="Q102" s="728"/>
      <c r="R102" s="727"/>
      <c r="S102" s="727"/>
      <c r="T102" s="727"/>
      <c r="U102" s="727"/>
      <c r="V102" s="727"/>
      <c r="W102" s="727"/>
      <c r="X102" s="727"/>
      <c r="Y102" s="727"/>
      <c r="Z102" s="727"/>
      <c r="AA102" s="727"/>
      <c r="AB102" s="727"/>
      <c r="AC102" s="727"/>
      <c r="AD102" s="727"/>
      <c r="AE102" s="727"/>
      <c r="AF102" s="727"/>
      <c r="AG102" s="727"/>
      <c r="AH102" s="727"/>
      <c r="AI102" s="727"/>
      <c r="AJ102" s="727"/>
      <c r="AK102" s="727"/>
      <c r="AL102" s="727"/>
      <c r="AM102" s="727"/>
      <c r="AN102" s="727"/>
      <c r="AO102" s="727"/>
      <c r="AP102" s="727"/>
      <c r="AQ102" s="727"/>
      <c r="AR102" s="727"/>
      <c r="AS102" s="727"/>
      <c r="AT102" s="727"/>
      <c r="AU102" s="727"/>
      <c r="AV102" s="727"/>
      <c r="AW102" s="727"/>
      <c r="AX102" s="727"/>
      <c r="AY102" s="727"/>
      <c r="AZ102" s="727"/>
      <c r="BA102" s="727"/>
      <c r="BB102" s="727"/>
      <c r="BC102" s="727"/>
      <c r="BD102" s="727"/>
      <c r="BE102" s="727"/>
    </row>
    <row r="103" spans="1:57" ht="45.95" customHeight="1" thickBot="1">
      <c r="A103" s="798"/>
      <c r="B103" s="779"/>
      <c r="C103" s="799"/>
      <c r="D103" s="781"/>
      <c r="E103" s="800"/>
      <c r="F103" s="801"/>
      <c r="G103" s="801"/>
      <c r="H103" s="801"/>
      <c r="I103" s="801"/>
      <c r="J103" s="801"/>
      <c r="K103" s="801"/>
      <c r="L103" s="801"/>
      <c r="M103" s="801"/>
      <c r="N103" s="801"/>
      <c r="O103" s="801"/>
      <c r="P103" s="801"/>
      <c r="Q103" s="801"/>
      <c r="R103" s="802"/>
      <c r="S103" s="802"/>
      <c r="T103" s="802"/>
      <c r="U103" s="802"/>
      <c r="V103" s="802"/>
      <c r="W103" s="802"/>
      <c r="X103" s="802"/>
      <c r="Y103" s="802"/>
      <c r="Z103" s="802"/>
      <c r="AA103" s="802"/>
      <c r="AB103" s="802"/>
      <c r="AC103" s="802"/>
      <c r="AD103" s="802"/>
      <c r="AE103" s="802"/>
      <c r="AF103" s="802"/>
      <c r="AG103" s="802"/>
      <c r="AH103" s="802"/>
      <c r="AI103" s="802"/>
      <c r="AJ103" s="802"/>
      <c r="AK103" s="802"/>
      <c r="AL103" s="802"/>
      <c r="AM103" s="802"/>
      <c r="AN103" s="802"/>
      <c r="AO103" s="802"/>
      <c r="AP103" s="802"/>
      <c r="AQ103" s="802"/>
      <c r="AR103" s="802"/>
      <c r="AS103" s="802"/>
      <c r="AT103" s="802"/>
      <c r="AU103" s="802"/>
      <c r="AV103" s="802"/>
      <c r="AW103" s="802"/>
      <c r="AX103" s="802"/>
      <c r="AY103" s="802"/>
      <c r="AZ103" s="802"/>
      <c r="BA103" s="802"/>
      <c r="BB103" s="802"/>
      <c r="BC103" s="802"/>
      <c r="BD103" s="802"/>
      <c r="BE103" s="802"/>
    </row>
    <row r="104" spans="1:57" ht="45.95" customHeight="1">
      <c r="A104" s="803"/>
      <c r="B104" s="786" t="s">
        <v>535</v>
      </c>
      <c r="C104" s="804">
        <f>SUM(C64:C102)</f>
        <v>2547</v>
      </c>
      <c r="D104" s="805">
        <f>C104/100</f>
        <v>25.47</v>
      </c>
      <c r="E104" s="789"/>
      <c r="F104" s="806">
        <v>1</v>
      </c>
      <c r="G104" s="806">
        <v>2</v>
      </c>
      <c r="H104" s="806">
        <v>3</v>
      </c>
      <c r="I104" s="806">
        <v>4</v>
      </c>
      <c r="J104" s="806">
        <v>5</v>
      </c>
      <c r="K104" s="806">
        <v>6</v>
      </c>
      <c r="L104" s="806">
        <v>7</v>
      </c>
      <c r="M104" s="807">
        <v>8</v>
      </c>
      <c r="N104" s="807">
        <v>9</v>
      </c>
      <c r="O104" s="807">
        <v>10</v>
      </c>
      <c r="P104" s="807">
        <v>11</v>
      </c>
      <c r="Q104" s="807">
        <v>12</v>
      </c>
      <c r="R104" s="807">
        <v>13</v>
      </c>
      <c r="S104" s="807">
        <v>14</v>
      </c>
      <c r="T104" s="807">
        <v>15</v>
      </c>
      <c r="U104" s="807">
        <v>16</v>
      </c>
      <c r="V104" s="807">
        <v>17</v>
      </c>
      <c r="W104" s="807">
        <v>18</v>
      </c>
      <c r="X104" s="807"/>
      <c r="Y104" s="807"/>
      <c r="Z104" s="807"/>
      <c r="AA104" s="807"/>
      <c r="AB104" s="807"/>
      <c r="AC104" s="807"/>
      <c r="AD104" s="807"/>
      <c r="AE104" s="807"/>
      <c r="AF104" s="807"/>
      <c r="AG104" s="807"/>
      <c r="AH104" s="807"/>
      <c r="AI104" s="807"/>
      <c r="AJ104" s="807"/>
      <c r="AK104" s="807"/>
      <c r="AL104" s="806"/>
      <c r="AM104" s="806"/>
      <c r="AN104" s="806"/>
      <c r="AO104" s="806"/>
      <c r="AP104" s="806"/>
      <c r="AQ104" s="806"/>
      <c r="AR104" s="806"/>
      <c r="AS104" s="806"/>
      <c r="AT104" s="806"/>
      <c r="AU104" s="808"/>
      <c r="AV104" s="809"/>
      <c r="AW104" s="809"/>
      <c r="AX104" s="809"/>
      <c r="AY104" s="809"/>
      <c r="AZ104" s="809"/>
      <c r="BA104" s="809"/>
      <c r="BB104" s="809"/>
      <c r="BC104" s="809"/>
      <c r="BD104" s="809"/>
      <c r="BE104" s="810"/>
    </row>
    <row r="105" spans="1:57" ht="45.95" customHeight="1">
      <c r="A105" s="811"/>
      <c r="B105" s="719" t="s">
        <v>536</v>
      </c>
      <c r="C105" s="812"/>
      <c r="D105" s="812">
        <f>SUMPRODUCT(E63:E102,D63:D102)/100</f>
        <v>1.6882606988614057E-2</v>
      </c>
      <c r="E105" s="724"/>
      <c r="F105" s="812">
        <f>SUMPRODUCT(F63:F102,D63:D102)/100</f>
        <v>6.4782096584216728E-2</v>
      </c>
      <c r="G105" s="812">
        <f>SUMPRODUCT(G63:G102,D63:D102)/100</f>
        <v>9.9725166862976042E-2</v>
      </c>
      <c r="H105" s="812">
        <f>SUMPRODUCT(H63:H102,D63:D102)/100</f>
        <v>0.20783274440518254</v>
      </c>
      <c r="I105" s="812">
        <f>SUMPRODUCT(I63:I102,D63:D102)/100</f>
        <v>0.27487239890066745</v>
      </c>
      <c r="J105" s="812">
        <f>SUMPRODUCT(J63:J102,D63:D102)/100</f>
        <v>0.34326658814291322</v>
      </c>
      <c r="K105" s="812">
        <f>SUMPRODUCT(K63:K102,D63:D102)/100</f>
        <v>0.44913623871221037</v>
      </c>
      <c r="L105" s="812">
        <f>SUMPRODUCT(L63:L102,D63:D102)/100</f>
        <v>0.46682371417353741</v>
      </c>
      <c r="M105" s="812">
        <f>SUMPRODUCT(M63:M102,D63:D102)/100</f>
        <v>0.55184530820573219</v>
      </c>
      <c r="N105" s="812">
        <f>SUMPRODUCT(N63:N102,D63:D102)/100</f>
        <v>0.61287789556340799</v>
      </c>
      <c r="O105" s="812">
        <f>SUMPRODUCT(O63:O102,D63:D102)/100</f>
        <v>0.69051825677267376</v>
      </c>
      <c r="P105" s="812">
        <f>SUMPRODUCT(P63:P102,D63:D102)/100</f>
        <v>0.75029446407538269</v>
      </c>
      <c r="Q105" s="812">
        <f>SUMPRODUCT(Q63:Q102,D63:D102)/100</f>
        <v>0.78582646250490773</v>
      </c>
      <c r="R105" s="812">
        <f>SUMPRODUCT(R63:R102,D63:D102)/100</f>
        <v>0.82862190812720826</v>
      </c>
      <c r="S105" s="812">
        <f>SUMPRODUCT(S63:S102,D63:D102)/100</f>
        <v>0.85590891244601475</v>
      </c>
      <c r="T105" s="812">
        <f>SUMPRODUCT(T63:T102,D63:D102)/100</f>
        <v>0.903219473890852</v>
      </c>
      <c r="U105" s="812">
        <f>SUMPRODUCT(U63:U102,D63:D102)/100</f>
        <v>0.92334118570867674</v>
      </c>
      <c r="V105" s="812">
        <f>SUMPRODUCT(V63:V102,D63:D102)/100</f>
        <v>0.96917942677659996</v>
      </c>
      <c r="W105" s="812">
        <f>SUMPRODUCT(W63:W102,D63:D102)/100</f>
        <v>0.99999999999999989</v>
      </c>
      <c r="X105" s="812">
        <f>SUMPRODUCT(X63:X102,D63:D102)/100</f>
        <v>0.99999999999999989</v>
      </c>
      <c r="Y105" s="812">
        <f>SUMPRODUCT(Y63:Y102,D63:D102)/100</f>
        <v>0.99999999999999989</v>
      </c>
      <c r="Z105" s="812"/>
      <c r="AA105" s="812"/>
      <c r="AB105" s="812"/>
      <c r="AC105" s="812"/>
      <c r="AD105" s="812"/>
      <c r="AE105" s="812"/>
      <c r="AF105" s="812"/>
      <c r="AG105" s="812"/>
      <c r="AH105" s="812"/>
      <c r="AI105" s="812"/>
      <c r="AJ105" s="812"/>
      <c r="AK105" s="812"/>
      <c r="AL105" s="812"/>
      <c r="AM105" s="812"/>
      <c r="AN105" s="812"/>
      <c r="AO105" s="812"/>
      <c r="AP105" s="812"/>
      <c r="AQ105" s="812"/>
      <c r="AR105" s="812"/>
      <c r="AS105" s="812"/>
      <c r="AT105" s="812"/>
      <c r="AU105" s="812"/>
      <c r="AV105" s="812"/>
      <c r="AW105" s="812"/>
      <c r="AX105" s="812"/>
      <c r="AY105" s="812"/>
      <c r="AZ105" s="812"/>
      <c r="BA105" s="812"/>
      <c r="BB105" s="812"/>
      <c r="BC105" s="812"/>
      <c r="BD105" s="812"/>
      <c r="BE105" s="813"/>
    </row>
    <row r="106" spans="1:57" ht="45.95" customHeight="1" thickBot="1">
      <c r="A106" s="814"/>
      <c r="B106" s="793" t="s">
        <v>537</v>
      </c>
      <c r="C106" s="815"/>
      <c r="D106" s="815">
        <f>SUMPRODUCT(E64:E102,D64:D102)/100</f>
        <v>1.6882606988614057E-2</v>
      </c>
      <c r="E106" s="816"/>
      <c r="F106" s="815">
        <f>F105</f>
        <v>6.4782096584216728E-2</v>
      </c>
      <c r="G106" s="815">
        <f>G105-F105</f>
        <v>3.4943070278759314E-2</v>
      </c>
      <c r="H106" s="815">
        <f t="shared" ref="H106:Y106" si="14">H105-G105</f>
        <v>0.1081075775422065</v>
      </c>
      <c r="I106" s="815">
        <f t="shared" si="14"/>
        <v>6.7039654495484907E-2</v>
      </c>
      <c r="J106" s="815">
        <f t="shared" si="14"/>
        <v>6.8394189242245773E-2</v>
      </c>
      <c r="K106" s="815">
        <f t="shared" si="14"/>
        <v>0.10586965056929715</v>
      </c>
      <c r="L106" s="815">
        <f t="shared" si="14"/>
        <v>1.768747546132704E-2</v>
      </c>
      <c r="M106" s="815">
        <f t="shared" si="14"/>
        <v>8.5021594032194781E-2</v>
      </c>
      <c r="N106" s="815">
        <f t="shared" si="14"/>
        <v>6.1032587357675805E-2</v>
      </c>
      <c r="O106" s="815">
        <f t="shared" si="14"/>
        <v>7.7640361209265762E-2</v>
      </c>
      <c r="P106" s="815">
        <f t="shared" si="14"/>
        <v>5.9776207302708939E-2</v>
      </c>
      <c r="Q106" s="815">
        <f t="shared" si="14"/>
        <v>3.5531998429525036E-2</v>
      </c>
      <c r="R106" s="815">
        <f t="shared" si="14"/>
        <v>4.2795445622300532E-2</v>
      </c>
      <c r="S106" s="815">
        <f t="shared" si="14"/>
        <v>2.7287004318806485E-2</v>
      </c>
      <c r="T106" s="815">
        <f t="shared" si="14"/>
        <v>4.7310561444837251E-2</v>
      </c>
      <c r="U106" s="815">
        <f t="shared" si="14"/>
        <v>2.0121711817824739E-2</v>
      </c>
      <c r="V106" s="815">
        <f t="shared" si="14"/>
        <v>4.5838241067923224E-2</v>
      </c>
      <c r="W106" s="815">
        <f t="shared" si="14"/>
        <v>3.0820573223399927E-2</v>
      </c>
      <c r="X106" s="815">
        <f t="shared" si="14"/>
        <v>0</v>
      </c>
      <c r="Y106" s="815">
        <f t="shared" si="14"/>
        <v>0</v>
      </c>
      <c r="Z106" s="815"/>
      <c r="AA106" s="815"/>
      <c r="AB106" s="815"/>
      <c r="AC106" s="815"/>
      <c r="AD106" s="815"/>
      <c r="AE106" s="815"/>
      <c r="AF106" s="815"/>
      <c r="AG106" s="815"/>
      <c r="AH106" s="815"/>
      <c r="AI106" s="815"/>
      <c r="AJ106" s="815"/>
      <c r="AK106" s="815"/>
      <c r="AL106" s="815"/>
      <c r="AM106" s="815"/>
      <c r="AN106" s="815"/>
      <c r="AO106" s="815"/>
      <c r="AP106" s="815"/>
      <c r="AQ106" s="815"/>
      <c r="AR106" s="815"/>
      <c r="AS106" s="815"/>
      <c r="AT106" s="815"/>
      <c r="AU106" s="815"/>
      <c r="AV106" s="815"/>
      <c r="AW106" s="815"/>
      <c r="AX106" s="815"/>
      <c r="AY106" s="815"/>
      <c r="AZ106" s="815"/>
      <c r="BA106" s="815"/>
      <c r="BB106" s="815"/>
      <c r="BC106" s="815"/>
      <c r="BD106" s="815"/>
      <c r="BE106" s="817"/>
    </row>
    <row r="107" spans="1:57" ht="45.95" customHeight="1"/>
    <row r="108" spans="1:57" ht="45.95" customHeight="1"/>
    <row r="109" spans="1:57" ht="45.95" customHeight="1"/>
    <row r="110" spans="1:57" ht="45.95" customHeight="1"/>
    <row r="111" spans="1:57" ht="45.95" customHeight="1"/>
    <row r="112" spans="1:57" ht="45.95" customHeight="1"/>
    <row r="113" ht="45.95" customHeight="1"/>
    <row r="114" ht="45.95" customHeight="1"/>
    <row r="115" ht="45.95" customHeight="1"/>
    <row r="116" ht="45.95" customHeight="1"/>
    <row r="117" ht="45.95" customHeight="1"/>
    <row r="118" ht="45.95" customHeight="1"/>
    <row r="119" ht="45.95" customHeight="1"/>
    <row r="120" ht="45.95" customHeight="1"/>
    <row r="121" ht="45.95" customHeight="1"/>
    <row r="122" ht="45.95" customHeight="1"/>
    <row r="123" ht="45.95" customHeight="1"/>
    <row r="124" ht="45.95" customHeight="1"/>
    <row r="125" ht="45.95" customHeight="1"/>
  </sheetData>
  <mergeCells count="4">
    <mergeCell ref="A1:BE1"/>
    <mergeCell ref="A2:BE2"/>
    <mergeCell ref="A61:BE61"/>
    <mergeCell ref="A3:BE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5"/>
  <sheetViews>
    <sheetView zoomScaleNormal="100" workbookViewId="0">
      <selection activeCell="J4" sqref="J4"/>
    </sheetView>
  </sheetViews>
  <sheetFormatPr defaultColWidth="9" defaultRowHeight="15"/>
  <cols>
    <col min="1" max="1" width="5.5703125" style="658" customWidth="1"/>
    <col min="2" max="2" width="58.85546875" style="658" bestFit="1" customWidth="1"/>
    <col min="3" max="3" width="15.140625" style="658" bestFit="1" customWidth="1"/>
    <col min="4" max="4" width="15.28515625" style="658" customWidth="1"/>
    <col min="5" max="5" width="12.28515625" style="658" customWidth="1"/>
    <col min="6" max="6" width="24" style="658" bestFit="1" customWidth="1"/>
    <col min="7" max="7" width="20.42578125" style="658" bestFit="1" customWidth="1"/>
    <col min="8" max="8" width="13.5703125" style="658" customWidth="1"/>
    <col min="9" max="9" width="18" style="659" customWidth="1"/>
    <col min="10" max="10" width="15.140625" style="659" customWidth="1"/>
    <col min="11" max="11" width="20.42578125" style="659" customWidth="1"/>
    <col min="12" max="16" width="9" style="659"/>
    <col min="17" max="16384" width="9" style="658"/>
  </cols>
  <sheetData>
    <row r="1" spans="1:16" ht="15.75" thickBot="1"/>
    <row r="2" spans="1:16" ht="15.75" thickBot="1">
      <c r="B2" s="658" t="s">
        <v>423</v>
      </c>
      <c r="C2" s="1219"/>
      <c r="G2"/>
      <c r="H2"/>
      <c r="I2" s="1208" t="s">
        <v>428</v>
      </c>
      <c r="J2" s="1208" t="s">
        <v>429</v>
      </c>
      <c r="K2" s="1208" t="s">
        <v>744</v>
      </c>
    </row>
    <row r="3" spans="1:16" ht="16.5" thickBot="1">
      <c r="B3" s="658" t="s">
        <v>424</v>
      </c>
      <c r="C3" s="660">
        <f>'№ 8.1  ННС 21'!E14</f>
        <v>0</v>
      </c>
      <c r="D3" s="658" t="s">
        <v>1</v>
      </c>
      <c r="G3" s="249" t="s">
        <v>733</v>
      </c>
      <c r="H3" s="636"/>
      <c r="I3" s="1191">
        <v>192600</v>
      </c>
      <c r="J3" s="636">
        <f>I3*0.5</f>
        <v>96300</v>
      </c>
      <c r="K3" s="636">
        <v>160500</v>
      </c>
    </row>
    <row r="4" spans="1:16" ht="16.5" thickBot="1">
      <c r="B4" s="658" t="s">
        <v>741</v>
      </c>
      <c r="C4" s="660"/>
      <c r="D4" s="658" t="s">
        <v>425</v>
      </c>
      <c r="G4" s="249" t="s">
        <v>734</v>
      </c>
      <c r="H4" s="636"/>
      <c r="I4" s="1191">
        <f>I3+17548</f>
        <v>210148</v>
      </c>
      <c r="J4" s="636">
        <f>I4*0.5</f>
        <v>105074</v>
      </c>
      <c r="K4" s="636">
        <v>160500</v>
      </c>
    </row>
    <row r="5" spans="1:16" s="661" customFormat="1" ht="15.75">
      <c r="G5" s="1212"/>
      <c r="I5" s="1191"/>
      <c r="J5" s="662"/>
      <c r="K5" s="662"/>
      <c r="L5" s="662"/>
      <c r="M5" s="662"/>
      <c r="N5" s="662"/>
      <c r="O5" s="662"/>
      <c r="P5" s="662"/>
    </row>
    <row r="6" spans="1:16" s="666" customFormat="1" ht="15.75">
      <c r="A6" s="663"/>
      <c r="B6" s="663" t="s">
        <v>426</v>
      </c>
      <c r="C6" s="664" t="s">
        <v>427</v>
      </c>
      <c r="D6" s="664" t="s">
        <v>428</v>
      </c>
      <c r="E6" s="665" t="s">
        <v>429</v>
      </c>
      <c r="I6" s="667"/>
      <c r="J6" s="667"/>
      <c r="K6" s="667"/>
      <c r="L6" s="667"/>
      <c r="M6" s="667"/>
      <c r="N6" s="667"/>
      <c r="O6" s="667"/>
      <c r="P6" s="667"/>
    </row>
    <row r="7" spans="1:16" s="661" customFormat="1" ht="15.75">
      <c r="A7" s="668">
        <v>1</v>
      </c>
      <c r="B7" s="669" t="s">
        <v>726</v>
      </c>
      <c r="C7" s="670" t="s">
        <v>430</v>
      </c>
      <c r="D7" s="670"/>
      <c r="E7" s="670"/>
      <c r="I7" s="662"/>
      <c r="J7" s="662"/>
      <c r="K7" s="662"/>
      <c r="L7" s="662"/>
      <c r="M7" s="662"/>
      <c r="N7" s="662"/>
      <c r="O7" s="662"/>
      <c r="P7" s="662"/>
    </row>
    <row r="8" spans="1:16" s="661" customFormat="1" ht="15.75">
      <c r="A8" s="668">
        <v>2</v>
      </c>
      <c r="B8" s="669" t="s">
        <v>727</v>
      </c>
      <c r="C8" s="670" t="s">
        <v>65</v>
      </c>
      <c r="D8" s="670"/>
      <c r="E8" s="670"/>
      <c r="I8" s="662"/>
      <c r="J8" s="662"/>
      <c r="K8" s="662"/>
      <c r="L8" s="662"/>
      <c r="M8" s="662"/>
      <c r="N8" s="662"/>
      <c r="O8" s="662"/>
      <c r="P8" s="662"/>
    </row>
    <row r="9" spans="1:16" s="661" customFormat="1" ht="15.75">
      <c r="A9" s="668">
        <v>3</v>
      </c>
      <c r="B9" s="669" t="s">
        <v>728</v>
      </c>
      <c r="C9" s="670" t="s">
        <v>65</v>
      </c>
      <c r="D9" s="1192">
        <f>I3</f>
        <v>192600</v>
      </c>
      <c r="E9" s="1192">
        <f>J3</f>
        <v>96300</v>
      </c>
      <c r="I9" s="662"/>
      <c r="J9" s="662"/>
      <c r="K9" s="662"/>
      <c r="L9" s="662"/>
      <c r="M9" s="662"/>
      <c r="N9" s="662"/>
      <c r="O9" s="662"/>
      <c r="P9" s="662"/>
    </row>
    <row r="10" spans="1:16" s="661" customFormat="1" ht="15.75">
      <c r="A10" s="668">
        <v>4</v>
      </c>
      <c r="B10" s="669" t="s">
        <v>729</v>
      </c>
      <c r="C10" s="670" t="s">
        <v>65</v>
      </c>
      <c r="D10" s="1192">
        <f>I4</f>
        <v>210148</v>
      </c>
      <c r="E10" s="1192">
        <f>J4</f>
        <v>105074</v>
      </c>
      <c r="I10" s="662"/>
      <c r="J10" s="662"/>
      <c r="K10" s="662"/>
      <c r="L10" s="662"/>
      <c r="M10" s="662"/>
      <c r="N10" s="662"/>
      <c r="O10" s="662"/>
      <c r="P10" s="662"/>
    </row>
    <row r="11" spans="1:16" s="661" customFormat="1" ht="15.75">
      <c r="A11" s="668">
        <v>5</v>
      </c>
      <c r="B11" s="669" t="s">
        <v>730</v>
      </c>
      <c r="C11" s="670" t="s">
        <v>65</v>
      </c>
      <c r="D11" s="670"/>
      <c r="E11" s="1192"/>
      <c r="I11" s="662"/>
      <c r="J11" s="662"/>
      <c r="K11" s="662"/>
      <c r="L11" s="662"/>
      <c r="M11" s="662"/>
      <c r="N11" s="662"/>
      <c r="O11" s="662"/>
      <c r="P11" s="662"/>
    </row>
    <row r="12" spans="1:16" s="661" customFormat="1" ht="15.75">
      <c r="A12" s="668">
        <v>13</v>
      </c>
      <c r="B12" s="671" t="s">
        <v>731</v>
      </c>
      <c r="C12" s="670" t="s">
        <v>65</v>
      </c>
      <c r="D12" s="672"/>
      <c r="E12" s="1192"/>
      <c r="F12" s="613"/>
      <c r="G12" s="613"/>
      <c r="I12" s="662"/>
      <c r="J12" s="662"/>
      <c r="K12" s="662"/>
      <c r="L12" s="662"/>
      <c r="M12" s="662"/>
      <c r="N12" s="662"/>
      <c r="O12" s="662"/>
      <c r="P12" s="662"/>
    </row>
    <row r="13" spans="1:16" s="661" customFormat="1" ht="15.75">
      <c r="A13" s="668">
        <v>14</v>
      </c>
      <c r="B13" s="671" t="s">
        <v>732</v>
      </c>
      <c r="C13" s="670" t="s">
        <v>65</v>
      </c>
      <c r="D13" s="672"/>
      <c r="E13" s="1192"/>
      <c r="F13" s="613"/>
      <c r="G13" s="613"/>
      <c r="I13" s="662"/>
      <c r="J13" s="662"/>
      <c r="K13" s="662"/>
      <c r="L13" s="662"/>
      <c r="M13" s="662"/>
      <c r="N13" s="662"/>
      <c r="O13" s="662"/>
      <c r="P13" s="662"/>
    </row>
    <row r="14" spans="1:16" s="661" customFormat="1" ht="15.75">
      <c r="A14" s="673"/>
      <c r="B14" s="674"/>
      <c r="C14" s="636"/>
      <c r="D14" s="636"/>
      <c r="E14" s="636"/>
      <c r="F14" s="636"/>
      <c r="G14" s="636"/>
      <c r="H14" s="636"/>
      <c r="I14" s="675"/>
      <c r="J14" s="675"/>
      <c r="K14" s="675"/>
      <c r="L14" s="675"/>
      <c r="M14" s="662"/>
      <c r="N14" s="662"/>
      <c r="O14" s="662"/>
      <c r="P14" s="662"/>
    </row>
    <row r="15" spans="1:16" s="681" customFormat="1" ht="47.25">
      <c r="A15" s="676"/>
      <c r="B15" s="677" t="s">
        <v>431</v>
      </c>
      <c r="C15" s="678" t="s">
        <v>432</v>
      </c>
      <c r="D15" s="678" t="s">
        <v>433</v>
      </c>
      <c r="E15" s="1227" t="s">
        <v>819</v>
      </c>
      <c r="F15" s="678" t="s">
        <v>764</v>
      </c>
      <c r="G15" s="678" t="s">
        <v>434</v>
      </c>
      <c r="H15" s="678" t="s">
        <v>435</v>
      </c>
      <c r="I15" s="677" t="s">
        <v>436</v>
      </c>
      <c r="J15" s="677" t="s">
        <v>437</v>
      </c>
      <c r="K15" s="677" t="s">
        <v>438</v>
      </c>
      <c r="L15" s="679"/>
      <c r="M15" s="680"/>
      <c r="N15" s="680"/>
      <c r="O15" s="680"/>
      <c r="P15" s="680"/>
    </row>
    <row r="16" spans="1:16" s="661" customFormat="1" ht="15.75">
      <c r="A16" s="682"/>
      <c r="B16" s="683" t="s">
        <v>439</v>
      </c>
      <c r="C16" s="683">
        <v>0</v>
      </c>
      <c r="D16" s="683">
        <v>8</v>
      </c>
      <c r="E16" s="683">
        <f>D16-C16</f>
        <v>8</v>
      </c>
      <c r="F16" s="1247">
        <f>1.6*1.05</f>
        <v>1.6800000000000002</v>
      </c>
      <c r="G16" s="1213"/>
      <c r="H16" s="1247"/>
      <c r="I16" s="684">
        <f>G16*D7</f>
        <v>0</v>
      </c>
      <c r="J16" s="684">
        <f>H16*E9</f>
        <v>0</v>
      </c>
      <c r="K16" s="684"/>
      <c r="L16" s="675"/>
      <c r="M16" s="662"/>
      <c r="N16" s="662"/>
      <c r="O16" s="662"/>
      <c r="P16" s="662"/>
    </row>
    <row r="17" spans="1:16" s="661" customFormat="1" ht="15.75">
      <c r="A17" s="682"/>
      <c r="B17" s="683" t="s">
        <v>440</v>
      </c>
      <c r="C17" s="683">
        <f>D16</f>
        <v>8</v>
      </c>
      <c r="D17" s="683">
        <v>150</v>
      </c>
      <c r="E17" s="683">
        <f>D17-C17</f>
        <v>142</v>
      </c>
      <c r="F17" s="1247">
        <f>8.33*1.05</f>
        <v>8.7465000000000011</v>
      </c>
      <c r="G17" s="1247"/>
      <c r="H17" s="1247"/>
      <c r="I17" s="684">
        <f>G17*D9</f>
        <v>0</v>
      </c>
      <c r="J17" s="684">
        <f>H17*E9</f>
        <v>0</v>
      </c>
      <c r="K17" s="684"/>
      <c r="L17" s="675"/>
      <c r="M17" s="662"/>
      <c r="N17" s="662"/>
      <c r="O17" s="662"/>
      <c r="P17" s="662"/>
    </row>
    <row r="18" spans="1:16" s="661" customFormat="1" ht="15.75">
      <c r="A18" s="682"/>
      <c r="B18" s="683" t="s">
        <v>441</v>
      </c>
      <c r="C18" s="685">
        <f>D17</f>
        <v>150</v>
      </c>
      <c r="D18" s="1300">
        <v>1095</v>
      </c>
      <c r="E18" s="683">
        <f>D18-C18</f>
        <v>945</v>
      </c>
      <c r="F18" s="1247">
        <f>18.33*1.05</f>
        <v>19.246499999999997</v>
      </c>
      <c r="G18" s="1247"/>
      <c r="H18" s="1247"/>
      <c r="I18" s="684">
        <f>G18*D10</f>
        <v>0</v>
      </c>
      <c r="J18" s="684">
        <f>H18*E10</f>
        <v>0</v>
      </c>
      <c r="K18" s="684"/>
      <c r="L18" s="675"/>
      <c r="M18" s="662"/>
      <c r="N18" s="662"/>
      <c r="O18" s="662"/>
      <c r="P18" s="662"/>
    </row>
    <row r="19" spans="1:16" s="661" customFormat="1" ht="15.75">
      <c r="A19" s="682"/>
      <c r="B19" s="683"/>
      <c r="C19" s="683"/>
      <c r="D19" s="683"/>
      <c r="E19" s="686">
        <f t="shared" ref="E19:K19" si="0">SUM(E16:E18)</f>
        <v>1095</v>
      </c>
      <c r="F19" s="1181">
        <f t="shared" si="0"/>
        <v>29.672999999999998</v>
      </c>
      <c r="G19" s="687">
        <f t="shared" si="0"/>
        <v>0</v>
      </c>
      <c r="H19" s="1181">
        <f t="shared" si="0"/>
        <v>0</v>
      </c>
      <c r="I19" s="687">
        <f t="shared" si="0"/>
        <v>0</v>
      </c>
      <c r="J19" s="687">
        <f t="shared" si="0"/>
        <v>0</v>
      </c>
      <c r="K19" s="687">
        <f t="shared" si="0"/>
        <v>0</v>
      </c>
      <c r="L19" s="675"/>
      <c r="M19" s="662"/>
      <c r="N19" s="662"/>
      <c r="O19" s="662"/>
      <c r="P19" s="662"/>
    </row>
    <row r="20" spans="1:16" s="661" customFormat="1" ht="15.75">
      <c r="A20" s="1214"/>
      <c r="B20" s="1215"/>
      <c r="C20" s="1215"/>
      <c r="D20" s="1215"/>
      <c r="E20" s="1216"/>
      <c r="F20"/>
      <c r="G20"/>
      <c r="H20"/>
      <c r="I20"/>
      <c r="J20"/>
      <c r="K20" s="1216"/>
      <c r="L20" s="675"/>
      <c r="M20" s="662"/>
      <c r="N20" s="662"/>
      <c r="O20" s="662"/>
      <c r="P20" s="662"/>
    </row>
    <row r="21" spans="1:16" s="661" customFormat="1" ht="15.75">
      <c r="A21" s="682"/>
      <c r="B21" s="683" t="s">
        <v>752</v>
      </c>
      <c r="C21" s="685">
        <v>0</v>
      </c>
      <c r="D21" s="685"/>
      <c r="E21" s="685"/>
      <c r="F21" s="1181"/>
      <c r="G21" s="1181"/>
      <c r="H21" s="1181"/>
      <c r="I21" s="684"/>
      <c r="J21" s="684"/>
      <c r="K21" s="1181"/>
      <c r="L21" s="675"/>
      <c r="M21" s="662"/>
      <c r="N21" s="662"/>
      <c r="O21" s="662"/>
      <c r="P21" s="662"/>
    </row>
    <row r="22" spans="1:16" s="661" customFormat="1" ht="15.75">
      <c r="A22" s="636"/>
      <c r="B22" s="636"/>
      <c r="C22" s="675"/>
      <c r="D22" s="675"/>
      <c r="E22" s="128"/>
      <c r="F22" s="690"/>
      <c r="G22" s="675"/>
      <c r="H22" s="675"/>
      <c r="I22" s="688"/>
      <c r="J22" s="675"/>
      <c r="K22" s="675"/>
      <c r="L22" s="675"/>
      <c r="M22" s="662"/>
      <c r="N22" s="662"/>
      <c r="O22" s="662"/>
      <c r="P22" s="662"/>
    </row>
    <row r="23" spans="1:16" s="666" customFormat="1" ht="16.5" hidden="1" thickBot="1">
      <c r="A23" s="635" t="s">
        <v>442</v>
      </c>
      <c r="B23" s="635"/>
      <c r="C23" s="690"/>
      <c r="D23" s="690"/>
      <c r="E23" s="667"/>
      <c r="F23" s="690"/>
      <c r="G23" s="690"/>
      <c r="H23" s="690"/>
      <c r="I23" s="689"/>
      <c r="J23" s="690"/>
      <c r="K23" s="690"/>
      <c r="L23" s="690"/>
      <c r="M23" s="667"/>
      <c r="N23" s="667"/>
      <c r="O23" s="667"/>
      <c r="P23" s="667"/>
    </row>
    <row r="24" spans="1:16" s="695" customFormat="1" ht="17.25" hidden="1" customHeight="1">
      <c r="A24" s="691">
        <v>1</v>
      </c>
      <c r="B24" s="692" t="s">
        <v>44</v>
      </c>
      <c r="C24" s="2437">
        <f>(I19+J19+K19)</f>
        <v>0</v>
      </c>
      <c r="D24" s="2438"/>
      <c r="E24" s="666"/>
      <c r="F24" s="693"/>
      <c r="G24" s="693"/>
      <c r="H24" s="693"/>
      <c r="I24" s="694"/>
      <c r="J24" s="679"/>
      <c r="K24" s="679"/>
      <c r="L24" s="679"/>
      <c r="M24" s="680"/>
      <c r="N24" s="680"/>
      <c r="O24" s="680"/>
    </row>
    <row r="25" spans="1:16" s="695" customFormat="1" ht="17.25" hidden="1" customHeight="1">
      <c r="A25" s="696">
        <v>2</v>
      </c>
      <c r="B25" s="697" t="s">
        <v>45</v>
      </c>
      <c r="C25" s="2280">
        <f>'№ 8.1  ННС 21'!E64</f>
        <v>0</v>
      </c>
      <c r="D25" s="2439"/>
      <c r="E25" s="666"/>
      <c r="F25" s="693"/>
      <c r="G25" s="693"/>
      <c r="H25" s="693"/>
      <c r="I25" s="694"/>
      <c r="J25" s="679"/>
      <c r="K25" s="679"/>
      <c r="L25" s="679"/>
      <c r="M25" s="680"/>
      <c r="N25" s="680"/>
      <c r="O25" s="680"/>
    </row>
    <row r="26" spans="1:16" s="695" customFormat="1" ht="17.25" hidden="1" customHeight="1">
      <c r="A26" s="696">
        <v>3</v>
      </c>
      <c r="B26" s="697" t="s">
        <v>443</v>
      </c>
      <c r="C26" s="2280"/>
      <c r="D26" s="2439"/>
      <c r="E26" s="666"/>
      <c r="F26" s="693"/>
      <c r="G26" s="693"/>
      <c r="H26" s="693"/>
      <c r="I26" s="694"/>
      <c r="J26" s="679"/>
      <c r="K26" s="679"/>
      <c r="L26" s="679"/>
      <c r="M26" s="680"/>
      <c r="N26" s="680"/>
      <c r="O26" s="680"/>
    </row>
    <row r="27" spans="1:16" s="695" customFormat="1" ht="17.25" hidden="1" customHeight="1" thickBot="1">
      <c r="A27" s="698">
        <v>4</v>
      </c>
      <c r="B27" s="699" t="s">
        <v>444</v>
      </c>
      <c r="C27" s="2440">
        <f>I5*'№ 8.1  ННС 21'!E37</f>
        <v>0</v>
      </c>
      <c r="D27" s="2441"/>
      <c r="E27" s="666"/>
      <c r="F27" s="693"/>
      <c r="G27" s="693"/>
      <c r="H27" s="693"/>
      <c r="I27" s="694"/>
      <c r="J27" s="679"/>
      <c r="K27" s="679"/>
      <c r="L27" s="679"/>
      <c r="M27" s="680"/>
      <c r="N27" s="680"/>
      <c r="O27" s="680"/>
    </row>
    <row r="28" spans="1:16" s="681" customFormat="1" ht="15.75" hidden="1">
      <c r="A28" s="700">
        <v>5</v>
      </c>
      <c r="B28" s="701" t="s">
        <v>445</v>
      </c>
      <c r="C28" s="702" t="s">
        <v>427</v>
      </c>
      <c r="D28" s="1210">
        <f>C4/('№ 8.1  ННС 21'!E16)</f>
        <v>0</v>
      </c>
      <c r="E28" s="666"/>
      <c r="F28" s="693"/>
      <c r="G28" s="693"/>
      <c r="H28" s="693"/>
      <c r="I28" s="694"/>
      <c r="J28" s="679"/>
      <c r="K28" s="679"/>
      <c r="L28" s="679"/>
      <c r="M28" s="680"/>
      <c r="N28" s="680"/>
      <c r="O28" s="680"/>
      <c r="P28" s="680"/>
    </row>
    <row r="29" spans="1:16" s="661" customFormat="1" ht="15.75" hidden="1">
      <c r="A29" s="703" t="s">
        <v>342</v>
      </c>
      <c r="B29" s="669" t="s">
        <v>742</v>
      </c>
      <c r="C29" s="670" t="s">
        <v>446</v>
      </c>
      <c r="D29" s="1223"/>
      <c r="E29" s="666"/>
      <c r="F29" s="254"/>
      <c r="G29" s="636"/>
      <c r="H29" s="636"/>
      <c r="I29" s="688"/>
      <c r="J29" s="675"/>
      <c r="K29" s="675"/>
      <c r="L29" s="675"/>
      <c r="M29" s="662"/>
      <c r="N29" s="662"/>
      <c r="O29" s="662"/>
      <c r="P29" s="662"/>
    </row>
    <row r="30" spans="1:16" s="661" customFormat="1" ht="15.75" hidden="1">
      <c r="A30" s="703" t="s">
        <v>345</v>
      </c>
      <c r="B30" s="669" t="s">
        <v>735</v>
      </c>
      <c r="C30" s="670" t="s">
        <v>446</v>
      </c>
      <c r="D30" s="1211"/>
      <c r="E30" s="666"/>
      <c r="F30" s="515"/>
      <c r="G30" s="636"/>
      <c r="H30" s="636"/>
      <c r="I30" s="688"/>
      <c r="J30" s="675"/>
      <c r="K30" s="675"/>
      <c r="L30" s="675"/>
      <c r="M30" s="662"/>
      <c r="N30" s="662"/>
      <c r="O30" s="662"/>
      <c r="P30" s="662"/>
    </row>
    <row r="31" spans="1:16" s="661" customFormat="1" ht="15.75" hidden="1">
      <c r="A31" s="703" t="s">
        <v>382</v>
      </c>
      <c r="B31" s="669" t="s">
        <v>736</v>
      </c>
      <c r="C31" s="670" t="s">
        <v>446</v>
      </c>
      <c r="D31" s="1211"/>
      <c r="E31" s="1302"/>
      <c r="F31" s="254"/>
      <c r="G31" s="636"/>
      <c r="H31" s="636"/>
      <c r="I31" s="688"/>
      <c r="J31" s="675"/>
      <c r="K31" s="675"/>
      <c r="L31" s="675"/>
      <c r="M31" s="662"/>
      <c r="N31" s="662"/>
      <c r="O31" s="662"/>
      <c r="P31" s="662"/>
    </row>
    <row r="32" spans="1:16" s="661" customFormat="1" ht="15.75" hidden="1">
      <c r="A32" s="703" t="s">
        <v>447</v>
      </c>
      <c r="B32" s="669" t="s">
        <v>737</v>
      </c>
      <c r="C32" s="670" t="s">
        <v>446</v>
      </c>
      <c r="D32" s="1211"/>
      <c r="E32" s="666"/>
      <c r="F32" s="515"/>
      <c r="G32" s="636"/>
      <c r="H32" s="636"/>
      <c r="I32" s="688"/>
      <c r="J32" s="675"/>
      <c r="K32" s="675"/>
      <c r="L32" s="675"/>
      <c r="M32" s="662"/>
      <c r="N32" s="662"/>
      <c r="O32" s="662"/>
      <c r="P32" s="662"/>
    </row>
    <row r="33" spans="1:16" s="661" customFormat="1" ht="16.5" hidden="1" thickBot="1">
      <c r="A33" s="1699" t="s">
        <v>448</v>
      </c>
      <c r="B33" s="1700" t="s">
        <v>738</v>
      </c>
      <c r="C33" s="707" t="s">
        <v>446</v>
      </c>
      <c r="D33" s="1701"/>
      <c r="E33" s="666"/>
      <c r="F33" s="515"/>
      <c r="G33" s="635"/>
      <c r="H33" s="635"/>
      <c r="I33" s="688"/>
      <c r="J33" s="675"/>
      <c r="K33" s="675"/>
      <c r="L33" s="675"/>
      <c r="M33" s="662"/>
      <c r="N33" s="662"/>
      <c r="O33" s="662"/>
      <c r="P33" s="662"/>
    </row>
    <row r="34" spans="1:16" ht="15.75" hidden="1">
      <c r="A34" s="1695" t="s">
        <v>449</v>
      </c>
      <c r="B34" s="1696" t="s">
        <v>739</v>
      </c>
      <c r="C34" s="1697" t="s">
        <v>446</v>
      </c>
      <c r="D34" s="1698" t="e">
        <f>'№ 8.1  ННС 21'!#REF!/1.2</f>
        <v>#REF!</v>
      </c>
      <c r="E34" s="666" t="s">
        <v>20</v>
      </c>
      <c r="F34" s="1220"/>
      <c r="H34" s="1220"/>
    </row>
    <row r="35" spans="1:16" ht="16.5" hidden="1" thickBot="1">
      <c r="A35" s="705" t="s">
        <v>450</v>
      </c>
      <c r="B35" s="706" t="s">
        <v>740</v>
      </c>
      <c r="C35" s="707" t="s">
        <v>446</v>
      </c>
      <c r="D35" s="1225" t="e">
        <f>D34-36000*1.03+30000*1.03</f>
        <v>#REF!</v>
      </c>
      <c r="E35" s="666" t="s">
        <v>20</v>
      </c>
    </row>
    <row r="36" spans="1:16" ht="15.75">
      <c r="D36" s="659"/>
      <c r="E36" s="666"/>
    </row>
    <row r="37" spans="1:16" ht="15.75" hidden="1">
      <c r="A37" s="700">
        <v>5</v>
      </c>
      <c r="B37" s="701" t="s">
        <v>445</v>
      </c>
      <c r="C37" s="702" t="s">
        <v>427</v>
      </c>
      <c r="D37" s="1210" t="e">
        <f>(C4+C27)/C3</f>
        <v>#DIV/0!</v>
      </c>
      <c r="E37" s="666"/>
    </row>
    <row r="38" spans="1:16" ht="15.75" hidden="1">
      <c r="A38" s="703" t="s">
        <v>342</v>
      </c>
      <c r="B38" s="1209" t="s">
        <v>745</v>
      </c>
      <c r="C38" s="670" t="s">
        <v>446</v>
      </c>
      <c r="D38" s="1223">
        <f>D29+$C$27/$E$19</f>
        <v>0</v>
      </c>
      <c r="E38" s="666"/>
    </row>
    <row r="39" spans="1:16" ht="15.75" hidden="1">
      <c r="A39" s="703" t="s">
        <v>345</v>
      </c>
      <c r="B39" s="1209" t="s">
        <v>746</v>
      </c>
      <c r="C39" s="670" t="s">
        <v>446</v>
      </c>
      <c r="D39" s="1223">
        <f>D30+$C$27/$E$19</f>
        <v>0</v>
      </c>
      <c r="E39" s="666"/>
    </row>
    <row r="40" spans="1:16" ht="15.75" hidden="1">
      <c r="A40" s="703" t="s">
        <v>382</v>
      </c>
      <c r="B40" s="1209" t="s">
        <v>747</v>
      </c>
      <c r="C40" s="670" t="s">
        <v>446</v>
      </c>
      <c r="D40" s="1223">
        <f>D31+$C$27/$E$19</f>
        <v>0</v>
      </c>
      <c r="E40" s="666"/>
    </row>
    <row r="41" spans="1:16" ht="15.75" hidden="1">
      <c r="A41" s="703" t="s">
        <v>447</v>
      </c>
      <c r="B41" s="1209" t="s">
        <v>748</v>
      </c>
      <c r="C41" s="670" t="s">
        <v>446</v>
      </c>
      <c r="D41" s="1223">
        <f>D32+$C$27/$E$19</f>
        <v>0</v>
      </c>
      <c r="E41" s="666"/>
    </row>
    <row r="42" spans="1:16" ht="15.75" hidden="1">
      <c r="A42" s="703" t="s">
        <v>448</v>
      </c>
      <c r="B42" s="1209" t="s">
        <v>749</v>
      </c>
      <c r="C42" s="670" t="s">
        <v>446</v>
      </c>
      <c r="D42" s="1211"/>
      <c r="E42" s="666"/>
      <c r="G42" s="1220"/>
    </row>
    <row r="43" spans="1:16" ht="15.75" hidden="1">
      <c r="A43" s="704" t="s">
        <v>449</v>
      </c>
      <c r="B43" s="671" t="s">
        <v>750</v>
      </c>
      <c r="C43" s="670" t="s">
        <v>446</v>
      </c>
      <c r="D43" s="1224" t="e">
        <f>'№ 8.1  ННС 21'!#REF!/1.2+(I5*'№ 8.1  ННС 21'!#REF!*1.03)/'№ 8.1  ННС 21'!E18</f>
        <v>#REF!</v>
      </c>
      <c r="E43" s="666"/>
      <c r="F43" s="1220"/>
    </row>
    <row r="44" spans="1:16" ht="16.5" hidden="1" thickBot="1">
      <c r="A44" s="705" t="s">
        <v>450</v>
      </c>
      <c r="B44" s="706" t="s">
        <v>751</v>
      </c>
      <c r="C44" s="707" t="s">
        <v>446</v>
      </c>
      <c r="D44" s="708" t="e">
        <f>D43-36000*1.03+30000*1.03</f>
        <v>#REF!</v>
      </c>
    </row>
    <row r="45" spans="1:16" hidden="1"/>
  </sheetData>
  <mergeCells count="4">
    <mergeCell ref="C24:D24"/>
    <mergeCell ref="C25:D25"/>
    <mergeCell ref="C26:D26"/>
    <mergeCell ref="C27:D2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opLeftCell="B102" workbookViewId="0">
      <selection activeCell="N131" sqref="N131"/>
    </sheetView>
  </sheetViews>
  <sheetFormatPr defaultColWidth="9" defaultRowHeight="12.75"/>
  <cols>
    <col min="1" max="1" width="5.85546875" style="380" bestFit="1" customWidth="1"/>
    <col min="2" max="2" width="24.85546875" style="1646" customWidth="1"/>
    <col min="3" max="3" width="65.5703125" style="380" customWidth="1"/>
    <col min="4" max="4" width="14.42578125" style="1642" customWidth="1"/>
    <col min="5" max="5" width="8.7109375" style="380" customWidth="1"/>
    <col min="6" max="6" width="6.7109375" style="380" bestFit="1" customWidth="1"/>
    <col min="7" max="7" width="14.28515625" style="380" customWidth="1"/>
    <col min="8" max="8" width="15.140625" style="380" customWidth="1"/>
    <col min="9" max="9" width="15.140625" style="1642" customWidth="1"/>
    <col min="10" max="10" width="10.7109375" style="1642" customWidth="1"/>
    <col min="11" max="11" width="11.42578125" style="380" customWidth="1"/>
    <col min="12" max="12" width="11.140625" style="380" customWidth="1"/>
    <col min="13" max="16384" width="9" style="380"/>
  </cols>
  <sheetData>
    <row r="1" spans="1:13" ht="15" thickBot="1">
      <c r="A1" s="2442" t="s">
        <v>1106</v>
      </c>
      <c r="B1" s="2442"/>
      <c r="C1" s="2442"/>
      <c r="D1" s="2442"/>
      <c r="E1" s="2442"/>
      <c r="F1" s="2442"/>
      <c r="G1" s="2442"/>
      <c r="H1" s="2442"/>
      <c r="I1" s="2442"/>
      <c r="J1" s="2442"/>
      <c r="K1" s="1521"/>
      <c r="L1" s="1521"/>
    </row>
    <row r="2" spans="1:13" s="1" customFormat="1" ht="9" customHeight="1" thickBot="1">
      <c r="A2" s="1522"/>
      <c r="B2" s="1523"/>
      <c r="C2" s="1522"/>
      <c r="D2" s="1524"/>
      <c r="E2" s="1522"/>
      <c r="F2" s="1522"/>
      <c r="G2" s="1522"/>
      <c r="H2" s="1522"/>
      <c r="I2" s="1524"/>
      <c r="J2" s="1524"/>
      <c r="K2" s="2443"/>
      <c r="L2" s="2444"/>
    </row>
    <row r="3" spans="1:13" s="1" customFormat="1" ht="64.5" customHeight="1" thickBot="1">
      <c r="A3" s="1525" t="s">
        <v>0</v>
      </c>
      <c r="B3" s="1526" t="s">
        <v>1107</v>
      </c>
      <c r="C3" s="1527" t="s">
        <v>1108</v>
      </c>
      <c r="D3" s="1528" t="s">
        <v>820</v>
      </c>
      <c r="E3" s="1529" t="s">
        <v>1109</v>
      </c>
      <c r="F3" s="1529" t="s">
        <v>1110</v>
      </c>
      <c r="G3" s="1530" t="s">
        <v>1111</v>
      </c>
      <c r="H3" s="1531" t="s">
        <v>1112</v>
      </c>
      <c r="I3" s="1532" t="s">
        <v>1113</v>
      </c>
      <c r="J3" s="1533" t="s">
        <v>1114</v>
      </c>
      <c r="K3" s="2443" t="s">
        <v>1115</v>
      </c>
      <c r="L3" s="2444"/>
    </row>
    <row r="4" spans="1:13" s="1" customFormat="1" ht="13.5" customHeight="1" thickBot="1">
      <c r="A4" s="1534">
        <v>0</v>
      </c>
      <c r="B4" s="1535"/>
      <c r="C4" s="1536" t="s">
        <v>1116</v>
      </c>
      <c r="D4" s="1537" t="s">
        <v>821</v>
      </c>
      <c r="E4" s="1538"/>
      <c r="F4" s="1538">
        <v>0</v>
      </c>
      <c r="G4" s="1539"/>
      <c r="H4" s="1540">
        <v>0</v>
      </c>
      <c r="I4" s="1541">
        <v>44216</v>
      </c>
      <c r="J4" s="1542">
        <v>0</v>
      </c>
      <c r="K4" s="1543" t="s">
        <v>1117</v>
      </c>
      <c r="L4" s="1544" t="s">
        <v>1118</v>
      </c>
    </row>
    <row r="5" spans="1:13" ht="13.5" customHeight="1">
      <c r="A5" s="1545">
        <v>1</v>
      </c>
      <c r="B5" s="1546" t="s">
        <v>35</v>
      </c>
      <c r="C5" s="1547" t="s">
        <v>1119</v>
      </c>
      <c r="D5" s="1548" t="s">
        <v>821</v>
      </c>
      <c r="E5" s="1549"/>
      <c r="F5" s="1549">
        <f>E5+F4</f>
        <v>0</v>
      </c>
      <c r="G5" s="1550">
        <v>2</v>
      </c>
      <c r="H5" s="1551">
        <f>G5/24</f>
        <v>8.3333333333333329E-2</v>
      </c>
      <c r="I5" s="1552">
        <f>I4+H5</f>
        <v>44216.083333333336</v>
      </c>
      <c r="J5" s="1553">
        <f>J4+H5</f>
        <v>8.3333333333333329E-2</v>
      </c>
      <c r="K5" s="1554"/>
      <c r="L5" s="1555"/>
    </row>
    <row r="6" spans="1:13" ht="13.7" customHeight="1">
      <c r="A6" s="1556">
        <f>A5+1</f>
        <v>2</v>
      </c>
      <c r="B6" s="1546" t="s">
        <v>35</v>
      </c>
      <c r="C6" s="1557" t="s">
        <v>1120</v>
      </c>
      <c r="D6" s="1558" t="s">
        <v>821</v>
      </c>
      <c r="E6" s="1559"/>
      <c r="F6" s="1560">
        <f t="shared" ref="F6:F69" si="0">E6+F5</f>
        <v>0</v>
      </c>
      <c r="G6" s="1561">
        <v>3</v>
      </c>
      <c r="H6" s="1562">
        <f t="shared" ref="H6:H69" si="1">G6/24</f>
        <v>0.125</v>
      </c>
      <c r="I6" s="1563">
        <f t="shared" ref="I6:I69" si="2">I5+H6</f>
        <v>44216.208333333336</v>
      </c>
      <c r="J6" s="1564">
        <f t="shared" ref="J6:J69" si="3">J5+H6</f>
        <v>0.20833333333333331</v>
      </c>
      <c r="K6" s="1565"/>
      <c r="L6" s="1566"/>
    </row>
    <row r="7" spans="1:13" ht="13.7" customHeight="1">
      <c r="A7" s="1556">
        <f t="shared" ref="A7:A70" si="4">A6+1</f>
        <v>3</v>
      </c>
      <c r="B7" s="1546" t="s">
        <v>35</v>
      </c>
      <c r="C7" s="1567" t="str">
        <f>CONCATENATE("Бурение в интервале ",F6," - ",F7," м")</f>
        <v>Бурение в интервале 0 - 50 м</v>
      </c>
      <c r="D7" s="1558" t="s">
        <v>821</v>
      </c>
      <c r="E7" s="1559">
        <v>50</v>
      </c>
      <c r="F7" s="1560">
        <f t="shared" si="0"/>
        <v>50</v>
      </c>
      <c r="G7" s="1568">
        <v>15</v>
      </c>
      <c r="H7" s="1562">
        <f t="shared" si="1"/>
        <v>0.625</v>
      </c>
      <c r="I7" s="1563">
        <f t="shared" si="2"/>
        <v>44216.833333333336</v>
      </c>
      <c r="J7" s="1564">
        <f t="shared" si="3"/>
        <v>0.83333333333333326</v>
      </c>
      <c r="K7" s="1569"/>
      <c r="L7" s="1566"/>
    </row>
    <row r="8" spans="1:13" ht="13.7" customHeight="1">
      <c r="A8" s="1556">
        <f t="shared" si="4"/>
        <v>4</v>
      </c>
      <c r="B8" s="1546" t="s">
        <v>35</v>
      </c>
      <c r="C8" s="1570" t="s">
        <v>1121</v>
      </c>
      <c r="D8" s="1571" t="s">
        <v>821</v>
      </c>
      <c r="E8" s="1559"/>
      <c r="F8" s="1560">
        <f t="shared" si="0"/>
        <v>50</v>
      </c>
      <c r="G8" s="1561">
        <v>0.5</v>
      </c>
      <c r="H8" s="1562">
        <f t="shared" si="1"/>
        <v>2.0833333333333332E-2</v>
      </c>
      <c r="I8" s="1563">
        <f t="shared" si="2"/>
        <v>44216.854166666672</v>
      </c>
      <c r="J8" s="1564">
        <f t="shared" si="3"/>
        <v>0.85416666666666663</v>
      </c>
      <c r="K8" s="1569"/>
      <c r="L8" s="1566"/>
    </row>
    <row r="9" spans="1:13" ht="13.7" customHeight="1">
      <c r="A9" s="1556">
        <f t="shared" si="4"/>
        <v>5</v>
      </c>
      <c r="B9" s="1546" t="s">
        <v>35</v>
      </c>
      <c r="C9" s="1557" t="s">
        <v>1122</v>
      </c>
      <c r="D9" s="1558" t="s">
        <v>821</v>
      </c>
      <c r="E9" s="1559"/>
      <c r="F9" s="1560">
        <f t="shared" si="0"/>
        <v>50</v>
      </c>
      <c r="G9" s="1561">
        <v>2</v>
      </c>
      <c r="H9" s="1562">
        <f t="shared" si="1"/>
        <v>8.3333333333333329E-2</v>
      </c>
      <c r="I9" s="1563">
        <f t="shared" si="2"/>
        <v>44216.937500000007</v>
      </c>
      <c r="J9" s="1564">
        <f t="shared" si="3"/>
        <v>0.9375</v>
      </c>
      <c r="K9" s="1569"/>
      <c r="L9" s="1566"/>
    </row>
    <row r="10" spans="1:13" ht="13.7" customHeight="1">
      <c r="A10" s="1556">
        <f t="shared" si="4"/>
        <v>6</v>
      </c>
      <c r="B10" s="1546" t="s">
        <v>35</v>
      </c>
      <c r="C10" s="1557" t="s">
        <v>1123</v>
      </c>
      <c r="D10" s="1558" t="s">
        <v>821</v>
      </c>
      <c r="E10" s="1559"/>
      <c r="F10" s="1560">
        <f t="shared" si="0"/>
        <v>50</v>
      </c>
      <c r="G10" s="1561">
        <v>3</v>
      </c>
      <c r="H10" s="1562">
        <f t="shared" si="1"/>
        <v>0.125</v>
      </c>
      <c r="I10" s="1563">
        <f t="shared" si="2"/>
        <v>44217.062500000007</v>
      </c>
      <c r="J10" s="1564">
        <f t="shared" si="3"/>
        <v>1.0625</v>
      </c>
      <c r="K10" s="1569"/>
      <c r="L10" s="1566"/>
    </row>
    <row r="11" spans="1:13" ht="13.7" customHeight="1">
      <c r="A11" s="1556">
        <f t="shared" si="4"/>
        <v>7</v>
      </c>
      <c r="B11" s="1546" t="s">
        <v>35</v>
      </c>
      <c r="C11" s="1557" t="s">
        <v>1124</v>
      </c>
      <c r="D11" s="1558" t="s">
        <v>821</v>
      </c>
      <c r="E11" s="1559"/>
      <c r="F11" s="1560">
        <f t="shared" si="0"/>
        <v>50</v>
      </c>
      <c r="G11" s="1561">
        <v>0.5</v>
      </c>
      <c r="H11" s="1562">
        <f t="shared" si="1"/>
        <v>2.0833333333333332E-2</v>
      </c>
      <c r="I11" s="1563">
        <f t="shared" si="2"/>
        <v>44217.083333333343</v>
      </c>
      <c r="J11" s="1564">
        <f t="shared" si="3"/>
        <v>1.0833333333333333</v>
      </c>
      <c r="K11" s="1569"/>
      <c r="L11" s="1566"/>
    </row>
    <row r="12" spans="1:13" ht="13.7" customHeight="1">
      <c r="A12" s="1556">
        <f t="shared" si="4"/>
        <v>8</v>
      </c>
      <c r="B12" s="1546" t="s">
        <v>35</v>
      </c>
      <c r="C12" s="1557" t="s">
        <v>1125</v>
      </c>
      <c r="D12" s="1558" t="s">
        <v>821</v>
      </c>
      <c r="E12" s="1559"/>
      <c r="F12" s="1560">
        <f t="shared" si="0"/>
        <v>50</v>
      </c>
      <c r="G12" s="1561">
        <v>4.5</v>
      </c>
      <c r="H12" s="1562">
        <f t="shared" si="1"/>
        <v>0.1875</v>
      </c>
      <c r="I12" s="1563">
        <f t="shared" si="2"/>
        <v>44217.270833333343</v>
      </c>
      <c r="J12" s="1564">
        <f t="shared" si="3"/>
        <v>1.2708333333333333</v>
      </c>
      <c r="K12" s="1569"/>
      <c r="L12" s="1566"/>
    </row>
    <row r="13" spans="1:13" ht="13.7" customHeight="1">
      <c r="A13" s="1556">
        <f t="shared" si="4"/>
        <v>9</v>
      </c>
      <c r="B13" s="1546" t="s">
        <v>35</v>
      </c>
      <c r="C13" s="1557" t="s">
        <v>1126</v>
      </c>
      <c r="D13" s="1558" t="s">
        <v>821</v>
      </c>
      <c r="E13" s="1559"/>
      <c r="F13" s="1560">
        <f t="shared" si="0"/>
        <v>50</v>
      </c>
      <c r="G13" s="1561">
        <v>0.5</v>
      </c>
      <c r="H13" s="1562">
        <f t="shared" si="1"/>
        <v>2.0833333333333332E-2</v>
      </c>
      <c r="I13" s="1563">
        <f t="shared" si="2"/>
        <v>44217.291666666679</v>
      </c>
      <c r="J13" s="1564">
        <f t="shared" si="3"/>
        <v>1.2916666666666665</v>
      </c>
      <c r="K13" s="1569"/>
      <c r="L13" s="1566"/>
    </row>
    <row r="14" spans="1:13" ht="13.7" customHeight="1">
      <c r="A14" s="1556">
        <f t="shared" si="4"/>
        <v>10</v>
      </c>
      <c r="B14" s="1546" t="s">
        <v>35</v>
      </c>
      <c r="C14" s="1557" t="s">
        <v>1127</v>
      </c>
      <c r="D14" s="1558" t="s">
        <v>821</v>
      </c>
      <c r="E14" s="1559"/>
      <c r="F14" s="1560">
        <f t="shared" si="0"/>
        <v>50</v>
      </c>
      <c r="G14" s="1561">
        <v>2</v>
      </c>
      <c r="H14" s="1562">
        <f t="shared" si="1"/>
        <v>8.3333333333333329E-2</v>
      </c>
      <c r="I14" s="1563">
        <f t="shared" si="2"/>
        <v>44217.375000000015</v>
      </c>
      <c r="J14" s="1564">
        <f t="shared" si="3"/>
        <v>1.3749999999999998</v>
      </c>
      <c r="K14" s="1572"/>
      <c r="L14" s="1573"/>
    </row>
    <row r="15" spans="1:13" ht="13.7" customHeight="1">
      <c r="A15" s="1574">
        <f t="shared" si="4"/>
        <v>11</v>
      </c>
      <c r="B15" s="1575" t="s">
        <v>35</v>
      </c>
      <c r="C15" s="1576" t="s">
        <v>1128</v>
      </c>
      <c r="D15" s="1577" t="s">
        <v>821</v>
      </c>
      <c r="E15" s="1578"/>
      <c r="F15" s="1579">
        <f t="shared" si="0"/>
        <v>50</v>
      </c>
      <c r="G15" s="1580">
        <v>30</v>
      </c>
      <c r="H15" s="1581">
        <f t="shared" si="1"/>
        <v>1.25</v>
      </c>
      <c r="I15" s="1582">
        <f t="shared" si="2"/>
        <v>44218.625000000015</v>
      </c>
      <c r="J15" s="1583">
        <f t="shared" si="3"/>
        <v>2.625</v>
      </c>
      <c r="K15" s="1584"/>
      <c r="L15" s="1585">
        <f>H15</f>
        <v>1.25</v>
      </c>
      <c r="M15" s="380" t="s">
        <v>1129</v>
      </c>
    </row>
    <row r="16" spans="1:13" ht="13.7" customHeight="1">
      <c r="A16" s="1545">
        <f>A15+1</f>
        <v>12</v>
      </c>
      <c r="B16" s="1546" t="s">
        <v>35</v>
      </c>
      <c r="C16" s="1586" t="s">
        <v>1120</v>
      </c>
      <c r="D16" s="1587" t="s">
        <v>822</v>
      </c>
      <c r="E16" s="1588"/>
      <c r="F16" s="1549">
        <f t="shared" si="0"/>
        <v>50</v>
      </c>
      <c r="G16" s="1589">
        <v>7</v>
      </c>
      <c r="H16" s="1551">
        <f t="shared" si="1"/>
        <v>0.29166666666666669</v>
      </c>
      <c r="I16" s="1552">
        <f t="shared" si="2"/>
        <v>44218.916666666679</v>
      </c>
      <c r="J16" s="1553">
        <f t="shared" si="3"/>
        <v>2.9166666666666665</v>
      </c>
      <c r="K16" s="1554">
        <f>H16</f>
        <v>0.29166666666666669</v>
      </c>
      <c r="L16" s="1555"/>
    </row>
    <row r="17" spans="1:12" ht="13.7" customHeight="1">
      <c r="A17" s="1556">
        <f t="shared" si="4"/>
        <v>13</v>
      </c>
      <c r="B17" s="1546" t="s">
        <v>35</v>
      </c>
      <c r="C17" s="1590" t="s">
        <v>1130</v>
      </c>
      <c r="D17" s="1587" t="s">
        <v>822</v>
      </c>
      <c r="E17" s="1559"/>
      <c r="F17" s="1560">
        <f t="shared" si="0"/>
        <v>50</v>
      </c>
      <c r="G17" s="1561">
        <v>1</v>
      </c>
      <c r="H17" s="1562">
        <f t="shared" si="1"/>
        <v>4.1666666666666664E-2</v>
      </c>
      <c r="I17" s="1563">
        <f t="shared" si="2"/>
        <v>44218.958333333343</v>
      </c>
      <c r="J17" s="1564">
        <f t="shared" si="3"/>
        <v>2.958333333333333</v>
      </c>
      <c r="K17" s="1554">
        <f t="shared" ref="K17:K32" si="5">H17</f>
        <v>4.1666666666666664E-2</v>
      </c>
      <c r="L17" s="1566"/>
    </row>
    <row r="18" spans="1:12" ht="13.7" customHeight="1">
      <c r="A18" s="1556">
        <f t="shared" si="4"/>
        <v>14</v>
      </c>
      <c r="B18" s="1546" t="s">
        <v>35</v>
      </c>
      <c r="C18" s="1590" t="s">
        <v>1131</v>
      </c>
      <c r="D18" s="1587" t="s">
        <v>822</v>
      </c>
      <c r="E18" s="1559"/>
      <c r="F18" s="1560">
        <f t="shared" si="0"/>
        <v>50</v>
      </c>
      <c r="G18" s="1561">
        <v>1</v>
      </c>
      <c r="H18" s="1562">
        <f t="shared" si="1"/>
        <v>4.1666666666666664E-2</v>
      </c>
      <c r="I18" s="1563">
        <f t="shared" si="2"/>
        <v>44219.000000000007</v>
      </c>
      <c r="J18" s="1564">
        <f t="shared" si="3"/>
        <v>2.9999999999999996</v>
      </c>
      <c r="K18" s="1554">
        <f t="shared" si="5"/>
        <v>4.1666666666666664E-2</v>
      </c>
      <c r="L18" s="1566"/>
    </row>
    <row r="19" spans="1:12" ht="13.7" customHeight="1">
      <c r="A19" s="1556">
        <f t="shared" si="4"/>
        <v>15</v>
      </c>
      <c r="B19" s="1546" t="s">
        <v>35</v>
      </c>
      <c r="C19" s="1591" t="str">
        <f>CONCATENATE("Бурение в интервале ",F18," - ",F19," м")</f>
        <v>Бурение в интервале 50 - 350 м</v>
      </c>
      <c r="D19" s="1587" t="s">
        <v>822</v>
      </c>
      <c r="E19" s="1559">
        <v>300</v>
      </c>
      <c r="F19" s="1560">
        <f t="shared" si="0"/>
        <v>350</v>
      </c>
      <c r="G19" s="1568">
        <v>27</v>
      </c>
      <c r="H19" s="1562">
        <f t="shared" si="1"/>
        <v>1.125</v>
      </c>
      <c r="I19" s="1563">
        <f t="shared" si="2"/>
        <v>44220.125000000007</v>
      </c>
      <c r="J19" s="1564">
        <f t="shared" si="3"/>
        <v>4.125</v>
      </c>
      <c r="K19" s="1554">
        <f t="shared" si="5"/>
        <v>1.125</v>
      </c>
      <c r="L19" s="1566"/>
    </row>
    <row r="20" spans="1:12" ht="13.7" customHeight="1">
      <c r="A20" s="1556">
        <f t="shared" si="4"/>
        <v>16</v>
      </c>
      <c r="B20" s="1546" t="s">
        <v>35</v>
      </c>
      <c r="C20" s="1590" t="s">
        <v>1132</v>
      </c>
      <c r="D20" s="1587" t="s">
        <v>822</v>
      </c>
      <c r="E20" s="1559"/>
      <c r="F20" s="1560">
        <f t="shared" si="0"/>
        <v>350</v>
      </c>
      <c r="G20" s="1561">
        <v>1.5</v>
      </c>
      <c r="H20" s="1562">
        <f t="shared" si="1"/>
        <v>6.25E-2</v>
      </c>
      <c r="I20" s="1563">
        <f t="shared" si="2"/>
        <v>44220.187500000007</v>
      </c>
      <c r="J20" s="1564">
        <f t="shared" si="3"/>
        <v>4.1875</v>
      </c>
      <c r="K20" s="1554">
        <f t="shared" si="5"/>
        <v>6.25E-2</v>
      </c>
      <c r="L20" s="1566"/>
    </row>
    <row r="21" spans="1:12" ht="13.7" customHeight="1">
      <c r="A21" s="1556">
        <f t="shared" si="4"/>
        <v>17</v>
      </c>
      <c r="B21" s="1546" t="s">
        <v>35</v>
      </c>
      <c r="C21" s="1591" t="str">
        <f>CONCATENATE("Бурение в интервале ",F20," - ",F21," м")</f>
        <v>Бурение в интервале 350 - 650 м</v>
      </c>
      <c r="D21" s="1587" t="s">
        <v>822</v>
      </c>
      <c r="E21" s="1559">
        <v>300</v>
      </c>
      <c r="F21" s="1560">
        <f t="shared" si="0"/>
        <v>650</v>
      </c>
      <c r="G21" s="1561">
        <v>27</v>
      </c>
      <c r="H21" s="1562">
        <f t="shared" si="1"/>
        <v>1.125</v>
      </c>
      <c r="I21" s="1563">
        <f t="shared" si="2"/>
        <v>44221.312500000007</v>
      </c>
      <c r="J21" s="1564">
        <f t="shared" si="3"/>
        <v>5.3125</v>
      </c>
      <c r="K21" s="1554">
        <f t="shared" si="5"/>
        <v>1.125</v>
      </c>
      <c r="L21" s="1566"/>
    </row>
    <row r="22" spans="1:12" ht="13.7" customHeight="1">
      <c r="A22" s="1556">
        <f t="shared" si="4"/>
        <v>18</v>
      </c>
      <c r="B22" s="1546" t="s">
        <v>35</v>
      </c>
      <c r="C22" s="1557" t="s">
        <v>1122</v>
      </c>
      <c r="D22" s="1587" t="s">
        <v>822</v>
      </c>
      <c r="E22" s="1559"/>
      <c r="F22" s="1560">
        <f t="shared" si="0"/>
        <v>650</v>
      </c>
      <c r="G22" s="1561">
        <v>6</v>
      </c>
      <c r="H22" s="1562">
        <f t="shared" si="1"/>
        <v>0.25</v>
      </c>
      <c r="I22" s="1563">
        <f t="shared" si="2"/>
        <v>44221.562500000007</v>
      </c>
      <c r="J22" s="1564">
        <f t="shared" si="3"/>
        <v>5.5625</v>
      </c>
      <c r="K22" s="1554">
        <f t="shared" si="5"/>
        <v>0.25</v>
      </c>
      <c r="L22" s="1566"/>
    </row>
    <row r="23" spans="1:12" ht="13.7" customHeight="1">
      <c r="A23" s="1556">
        <f t="shared" si="4"/>
        <v>19</v>
      </c>
      <c r="B23" s="1546" t="s">
        <v>35</v>
      </c>
      <c r="C23" s="1557" t="s">
        <v>1123</v>
      </c>
      <c r="D23" s="1587" t="s">
        <v>822</v>
      </c>
      <c r="E23" s="1559"/>
      <c r="F23" s="1560">
        <f t="shared" si="0"/>
        <v>650</v>
      </c>
      <c r="G23" s="1561">
        <v>7</v>
      </c>
      <c r="H23" s="1562">
        <f t="shared" si="1"/>
        <v>0.29166666666666669</v>
      </c>
      <c r="I23" s="1563">
        <f t="shared" si="2"/>
        <v>44221.854166666672</v>
      </c>
      <c r="J23" s="1564">
        <f t="shared" si="3"/>
        <v>5.854166666666667</v>
      </c>
      <c r="K23" s="1554">
        <f t="shared" si="5"/>
        <v>0.29166666666666669</v>
      </c>
      <c r="L23" s="1566"/>
    </row>
    <row r="24" spans="1:12" ht="13.7" customHeight="1">
      <c r="A24" s="1556">
        <f t="shared" si="4"/>
        <v>20</v>
      </c>
      <c r="B24" s="1546" t="s">
        <v>35</v>
      </c>
      <c r="C24" s="1557" t="s">
        <v>1120</v>
      </c>
      <c r="D24" s="1587" t="s">
        <v>822</v>
      </c>
      <c r="E24" s="1559"/>
      <c r="F24" s="1560">
        <f>E24+F23</f>
        <v>650</v>
      </c>
      <c r="G24" s="1561">
        <v>7</v>
      </c>
      <c r="H24" s="1562">
        <f t="shared" si="1"/>
        <v>0.29166666666666669</v>
      </c>
      <c r="I24" s="1563">
        <f t="shared" si="2"/>
        <v>44222.145833333336</v>
      </c>
      <c r="J24" s="1564">
        <f t="shared" si="3"/>
        <v>6.1458333333333339</v>
      </c>
      <c r="K24" s="1554">
        <f t="shared" si="5"/>
        <v>0.29166666666666669</v>
      </c>
      <c r="L24" s="1566"/>
    </row>
    <row r="25" spans="1:12" ht="13.7" customHeight="1">
      <c r="A25" s="1556">
        <f t="shared" si="4"/>
        <v>21</v>
      </c>
      <c r="B25" s="1546" t="s">
        <v>35</v>
      </c>
      <c r="C25" s="1590" t="s">
        <v>1130</v>
      </c>
      <c r="D25" s="1587" t="s">
        <v>822</v>
      </c>
      <c r="E25" s="1559"/>
      <c r="F25" s="1560">
        <f t="shared" si="0"/>
        <v>650</v>
      </c>
      <c r="G25" s="1561">
        <v>6</v>
      </c>
      <c r="H25" s="1562">
        <f t="shared" si="1"/>
        <v>0.25</v>
      </c>
      <c r="I25" s="1563">
        <f t="shared" si="2"/>
        <v>44222.395833333336</v>
      </c>
      <c r="J25" s="1564">
        <f t="shared" si="3"/>
        <v>6.3958333333333339</v>
      </c>
      <c r="K25" s="1554">
        <f t="shared" si="5"/>
        <v>0.25</v>
      </c>
      <c r="L25" s="1566"/>
    </row>
    <row r="26" spans="1:12" ht="13.7" customHeight="1">
      <c r="A26" s="1556">
        <f t="shared" si="4"/>
        <v>22</v>
      </c>
      <c r="B26" s="1546" t="s">
        <v>35</v>
      </c>
      <c r="C26" s="1591" t="str">
        <f>CONCATENATE("Бурение в интервале ",F25," - ",F26," м")</f>
        <v>Бурение в интервале 650 - 950 м</v>
      </c>
      <c r="D26" s="1587" t="s">
        <v>822</v>
      </c>
      <c r="E26" s="1592">
        <v>300</v>
      </c>
      <c r="F26" s="1560">
        <f t="shared" si="0"/>
        <v>950</v>
      </c>
      <c r="G26" s="1561">
        <v>27</v>
      </c>
      <c r="H26" s="1562">
        <f t="shared" si="1"/>
        <v>1.125</v>
      </c>
      <c r="I26" s="1563">
        <f t="shared" si="2"/>
        <v>44223.520833333336</v>
      </c>
      <c r="J26" s="1564">
        <f t="shared" si="3"/>
        <v>7.5208333333333339</v>
      </c>
      <c r="K26" s="1554">
        <f t="shared" si="5"/>
        <v>1.125</v>
      </c>
      <c r="L26" s="1566"/>
    </row>
    <row r="27" spans="1:12" ht="13.7" customHeight="1">
      <c r="A27" s="1556">
        <f t="shared" si="4"/>
        <v>23</v>
      </c>
      <c r="B27" s="1546" t="s">
        <v>35</v>
      </c>
      <c r="C27" s="1590" t="s">
        <v>1132</v>
      </c>
      <c r="D27" s="1587" t="s">
        <v>822</v>
      </c>
      <c r="E27" s="1559"/>
      <c r="F27" s="1560">
        <f t="shared" si="0"/>
        <v>950</v>
      </c>
      <c r="G27" s="1561">
        <v>1.5</v>
      </c>
      <c r="H27" s="1562">
        <f t="shared" si="1"/>
        <v>6.25E-2</v>
      </c>
      <c r="I27" s="1563">
        <f t="shared" si="2"/>
        <v>44223.583333333336</v>
      </c>
      <c r="J27" s="1564">
        <f t="shared" si="3"/>
        <v>7.5833333333333339</v>
      </c>
      <c r="K27" s="1554">
        <f t="shared" si="5"/>
        <v>6.25E-2</v>
      </c>
      <c r="L27" s="1566"/>
    </row>
    <row r="28" spans="1:12" ht="13.7" customHeight="1">
      <c r="A28" s="1556">
        <f t="shared" si="4"/>
        <v>24</v>
      </c>
      <c r="B28" s="1546" t="s">
        <v>35</v>
      </c>
      <c r="C28" s="1591" t="str">
        <f>CONCATENATE("Бурение в интервале ",F27," - ",F28," м")</f>
        <v>Бурение в интервале 950 - 1050 м</v>
      </c>
      <c r="D28" s="1587" t="s">
        <v>822</v>
      </c>
      <c r="E28" s="1559">
        <v>100</v>
      </c>
      <c r="F28" s="1560">
        <f t="shared" si="0"/>
        <v>1050</v>
      </c>
      <c r="G28" s="1561">
        <v>14</v>
      </c>
      <c r="H28" s="1562">
        <f t="shared" si="1"/>
        <v>0.58333333333333337</v>
      </c>
      <c r="I28" s="1563">
        <f t="shared" si="2"/>
        <v>44224.166666666672</v>
      </c>
      <c r="J28" s="1564">
        <f t="shared" si="3"/>
        <v>8.1666666666666679</v>
      </c>
      <c r="K28" s="1554">
        <f t="shared" si="5"/>
        <v>0.58333333333333337</v>
      </c>
      <c r="L28" s="1566"/>
    </row>
    <row r="29" spans="1:12" ht="13.7" customHeight="1">
      <c r="A29" s="1556">
        <f t="shared" si="4"/>
        <v>25</v>
      </c>
      <c r="B29" s="1546" t="s">
        <v>35</v>
      </c>
      <c r="C29" s="1590" t="s">
        <v>1133</v>
      </c>
      <c r="D29" s="1587" t="s">
        <v>822</v>
      </c>
      <c r="E29" s="1559"/>
      <c r="F29" s="1560">
        <f t="shared" si="0"/>
        <v>1050</v>
      </c>
      <c r="G29" s="1561">
        <v>2</v>
      </c>
      <c r="H29" s="1562">
        <f t="shared" si="1"/>
        <v>8.3333333333333329E-2</v>
      </c>
      <c r="I29" s="1563">
        <f t="shared" si="2"/>
        <v>44224.250000000007</v>
      </c>
      <c r="J29" s="1564">
        <f t="shared" si="3"/>
        <v>8.2500000000000018</v>
      </c>
      <c r="K29" s="1554">
        <f t="shared" si="5"/>
        <v>8.3333333333333329E-2</v>
      </c>
      <c r="L29" s="1566"/>
    </row>
    <row r="30" spans="1:12" ht="13.7" customHeight="1">
      <c r="A30" s="1556">
        <f t="shared" si="4"/>
        <v>26</v>
      </c>
      <c r="B30" s="1546" t="s">
        <v>35</v>
      </c>
      <c r="C30" s="1590" t="s">
        <v>1134</v>
      </c>
      <c r="D30" s="1587" t="s">
        <v>822</v>
      </c>
      <c r="E30" s="1559"/>
      <c r="F30" s="1560">
        <f t="shared" si="0"/>
        <v>1050</v>
      </c>
      <c r="G30" s="1561">
        <v>14</v>
      </c>
      <c r="H30" s="1562">
        <f t="shared" si="1"/>
        <v>0.58333333333333337</v>
      </c>
      <c r="I30" s="1563">
        <f t="shared" si="2"/>
        <v>44224.833333333343</v>
      </c>
      <c r="J30" s="1564">
        <f t="shared" si="3"/>
        <v>8.8333333333333357</v>
      </c>
      <c r="K30" s="1554">
        <f t="shared" si="5"/>
        <v>0.58333333333333337</v>
      </c>
      <c r="L30" s="1566"/>
    </row>
    <row r="31" spans="1:12" ht="13.7" customHeight="1">
      <c r="A31" s="1556">
        <f t="shared" si="4"/>
        <v>27</v>
      </c>
      <c r="B31" s="1546" t="s">
        <v>35</v>
      </c>
      <c r="C31" s="1590" t="s">
        <v>1122</v>
      </c>
      <c r="D31" s="1587" t="s">
        <v>822</v>
      </c>
      <c r="E31" s="1559"/>
      <c r="F31" s="1560">
        <f t="shared" si="0"/>
        <v>1050</v>
      </c>
      <c r="G31" s="1561">
        <v>7</v>
      </c>
      <c r="H31" s="1562">
        <f t="shared" si="1"/>
        <v>0.29166666666666669</v>
      </c>
      <c r="I31" s="1563">
        <f t="shared" si="2"/>
        <v>44225.125000000007</v>
      </c>
      <c r="J31" s="1564">
        <f t="shared" si="3"/>
        <v>9.1250000000000018</v>
      </c>
      <c r="K31" s="1554">
        <f t="shared" si="5"/>
        <v>0.29166666666666669</v>
      </c>
      <c r="L31" s="1566"/>
    </row>
    <row r="32" spans="1:12" ht="13.7" customHeight="1">
      <c r="A32" s="1556">
        <f t="shared" si="4"/>
        <v>28</v>
      </c>
      <c r="B32" s="1546" t="s">
        <v>35</v>
      </c>
      <c r="C32" s="1590" t="s">
        <v>1123</v>
      </c>
      <c r="D32" s="1587" t="s">
        <v>822</v>
      </c>
      <c r="E32" s="1559"/>
      <c r="F32" s="1560">
        <f t="shared" si="0"/>
        <v>1050</v>
      </c>
      <c r="G32" s="1561">
        <v>7</v>
      </c>
      <c r="H32" s="1562">
        <f t="shared" si="1"/>
        <v>0.29166666666666669</v>
      </c>
      <c r="I32" s="1563">
        <f t="shared" si="2"/>
        <v>44225.416666666672</v>
      </c>
      <c r="J32" s="1564">
        <f t="shared" si="3"/>
        <v>9.4166666666666679</v>
      </c>
      <c r="K32" s="1554">
        <f t="shared" si="5"/>
        <v>0.29166666666666669</v>
      </c>
      <c r="L32" s="1566"/>
    </row>
    <row r="33" spans="1:12" ht="13.7" customHeight="1">
      <c r="A33" s="1556">
        <f t="shared" si="4"/>
        <v>29</v>
      </c>
      <c r="B33" s="1546" t="s">
        <v>35</v>
      </c>
      <c r="C33" s="1590" t="s">
        <v>1135</v>
      </c>
      <c r="D33" s="1587" t="s">
        <v>822</v>
      </c>
      <c r="E33" s="1559"/>
      <c r="F33" s="1560">
        <f t="shared" si="0"/>
        <v>1050</v>
      </c>
      <c r="G33" s="1561">
        <v>20</v>
      </c>
      <c r="H33" s="1562">
        <f t="shared" si="1"/>
        <v>0.83333333333333337</v>
      </c>
      <c r="I33" s="1563">
        <f t="shared" si="2"/>
        <v>44226.250000000007</v>
      </c>
      <c r="J33" s="1564">
        <f t="shared" si="3"/>
        <v>10.250000000000002</v>
      </c>
      <c r="K33" s="1569"/>
      <c r="L33" s="1566">
        <f>H33</f>
        <v>0.83333333333333337</v>
      </c>
    </row>
    <row r="34" spans="1:12" ht="13.7" customHeight="1">
      <c r="A34" s="1556">
        <f t="shared" si="4"/>
        <v>30</v>
      </c>
      <c r="B34" s="1546" t="s">
        <v>35</v>
      </c>
      <c r="C34" s="1590" t="s">
        <v>1120</v>
      </c>
      <c r="D34" s="1587" t="s">
        <v>822</v>
      </c>
      <c r="E34" s="1559"/>
      <c r="F34" s="1560">
        <f t="shared" si="0"/>
        <v>1050</v>
      </c>
      <c r="G34" s="1561">
        <v>3</v>
      </c>
      <c r="H34" s="1562">
        <f t="shared" si="1"/>
        <v>0.125</v>
      </c>
      <c r="I34" s="1563">
        <f t="shared" si="2"/>
        <v>44226.375000000007</v>
      </c>
      <c r="J34" s="1564">
        <f t="shared" si="3"/>
        <v>10.375000000000002</v>
      </c>
      <c r="K34" s="1569"/>
      <c r="L34" s="1566">
        <f t="shared" ref="L34:L44" si="6">H34</f>
        <v>0.125</v>
      </c>
    </row>
    <row r="35" spans="1:12" ht="13.7" customHeight="1">
      <c r="A35" s="1556">
        <f t="shared" si="4"/>
        <v>31</v>
      </c>
      <c r="B35" s="1546" t="s">
        <v>35</v>
      </c>
      <c r="C35" s="1590" t="s">
        <v>1136</v>
      </c>
      <c r="D35" s="1587" t="s">
        <v>822</v>
      </c>
      <c r="E35" s="1559"/>
      <c r="F35" s="1560">
        <f t="shared" si="0"/>
        <v>1050</v>
      </c>
      <c r="G35" s="1561">
        <v>7</v>
      </c>
      <c r="H35" s="1562">
        <f t="shared" si="1"/>
        <v>0.29166666666666669</v>
      </c>
      <c r="I35" s="1563">
        <f t="shared" si="2"/>
        <v>44226.666666666672</v>
      </c>
      <c r="J35" s="1564">
        <f t="shared" si="3"/>
        <v>10.666666666666668</v>
      </c>
      <c r="K35" s="1569"/>
      <c r="L35" s="1566">
        <f t="shared" si="6"/>
        <v>0.29166666666666669</v>
      </c>
    </row>
    <row r="36" spans="1:12" ht="13.7" customHeight="1">
      <c r="A36" s="1556">
        <f t="shared" si="4"/>
        <v>32</v>
      </c>
      <c r="B36" s="1546" t="s">
        <v>35</v>
      </c>
      <c r="C36" s="1590" t="s">
        <v>1137</v>
      </c>
      <c r="D36" s="1587" t="s">
        <v>822</v>
      </c>
      <c r="E36" s="1559"/>
      <c r="F36" s="1560">
        <f t="shared" si="0"/>
        <v>1050</v>
      </c>
      <c r="G36" s="1561">
        <v>2</v>
      </c>
      <c r="H36" s="1562">
        <f t="shared" si="1"/>
        <v>8.3333333333333329E-2</v>
      </c>
      <c r="I36" s="1563">
        <f t="shared" si="2"/>
        <v>44226.750000000007</v>
      </c>
      <c r="J36" s="1564">
        <f t="shared" si="3"/>
        <v>10.750000000000002</v>
      </c>
      <c r="K36" s="1569"/>
      <c r="L36" s="1566">
        <f t="shared" si="6"/>
        <v>8.3333333333333329E-2</v>
      </c>
    </row>
    <row r="37" spans="1:12" ht="13.7" customHeight="1">
      <c r="A37" s="1556">
        <f t="shared" si="4"/>
        <v>33</v>
      </c>
      <c r="B37" s="1546" t="s">
        <v>35</v>
      </c>
      <c r="C37" s="1593" t="s">
        <v>1122</v>
      </c>
      <c r="D37" s="1594" t="s">
        <v>822</v>
      </c>
      <c r="E37" s="1559"/>
      <c r="F37" s="1560">
        <f t="shared" si="0"/>
        <v>1050</v>
      </c>
      <c r="G37" s="1561">
        <v>7</v>
      </c>
      <c r="H37" s="1562">
        <f t="shared" si="1"/>
        <v>0.29166666666666669</v>
      </c>
      <c r="I37" s="1563">
        <f t="shared" si="2"/>
        <v>44227.041666666672</v>
      </c>
      <c r="J37" s="1564">
        <f t="shared" si="3"/>
        <v>11.041666666666668</v>
      </c>
      <c r="K37" s="1569"/>
      <c r="L37" s="1566">
        <f t="shared" si="6"/>
        <v>0.29166666666666669</v>
      </c>
    </row>
    <row r="38" spans="1:12" ht="13.7" customHeight="1">
      <c r="A38" s="1556">
        <f t="shared" si="4"/>
        <v>34</v>
      </c>
      <c r="B38" s="1546" t="s">
        <v>35</v>
      </c>
      <c r="C38" s="1595" t="s">
        <v>1123</v>
      </c>
      <c r="D38" s="1587" t="s">
        <v>822</v>
      </c>
      <c r="E38" s="1559"/>
      <c r="F38" s="1560">
        <f t="shared" si="0"/>
        <v>1050</v>
      </c>
      <c r="G38" s="1561">
        <v>3</v>
      </c>
      <c r="H38" s="1562">
        <f t="shared" si="1"/>
        <v>0.125</v>
      </c>
      <c r="I38" s="1563">
        <f t="shared" si="2"/>
        <v>44227.166666666672</v>
      </c>
      <c r="J38" s="1564">
        <f t="shared" si="3"/>
        <v>11.166666666666668</v>
      </c>
      <c r="K38" s="1569"/>
      <c r="L38" s="1566">
        <f t="shared" si="6"/>
        <v>0.125</v>
      </c>
    </row>
    <row r="39" spans="1:12" ht="13.7" customHeight="1">
      <c r="A39" s="1556">
        <f t="shared" si="4"/>
        <v>35</v>
      </c>
      <c r="B39" s="1546" t="s">
        <v>35</v>
      </c>
      <c r="C39" s="1593" t="s">
        <v>1138</v>
      </c>
      <c r="D39" s="1587" t="s">
        <v>822</v>
      </c>
      <c r="E39" s="1559"/>
      <c r="F39" s="1560">
        <f t="shared" si="0"/>
        <v>1050</v>
      </c>
      <c r="G39" s="1561">
        <v>2</v>
      </c>
      <c r="H39" s="1562">
        <f t="shared" si="1"/>
        <v>8.3333333333333329E-2</v>
      </c>
      <c r="I39" s="1563">
        <f t="shared" si="2"/>
        <v>44227.250000000007</v>
      </c>
      <c r="J39" s="1564">
        <f t="shared" si="3"/>
        <v>11.250000000000002</v>
      </c>
      <c r="K39" s="1569"/>
      <c r="L39" s="1566">
        <f t="shared" si="6"/>
        <v>8.3333333333333329E-2</v>
      </c>
    </row>
    <row r="40" spans="1:12" ht="13.7" customHeight="1">
      <c r="A40" s="1556">
        <f t="shared" si="4"/>
        <v>36</v>
      </c>
      <c r="B40" s="1546" t="s">
        <v>35</v>
      </c>
      <c r="C40" s="1593" t="s">
        <v>1139</v>
      </c>
      <c r="D40" s="1587" t="s">
        <v>822</v>
      </c>
      <c r="E40" s="1559"/>
      <c r="F40" s="1560">
        <f t="shared" si="0"/>
        <v>1050</v>
      </c>
      <c r="G40" s="1561">
        <v>18</v>
      </c>
      <c r="H40" s="1562">
        <f t="shared" si="1"/>
        <v>0.75</v>
      </c>
      <c r="I40" s="1563">
        <f t="shared" si="2"/>
        <v>44228.000000000007</v>
      </c>
      <c r="J40" s="1564">
        <f t="shared" si="3"/>
        <v>12.000000000000002</v>
      </c>
      <c r="K40" s="1569"/>
      <c r="L40" s="1566">
        <f t="shared" si="6"/>
        <v>0.75</v>
      </c>
    </row>
    <row r="41" spans="1:12" ht="13.7" customHeight="1">
      <c r="A41" s="1556">
        <f t="shared" si="4"/>
        <v>37</v>
      </c>
      <c r="B41" s="1546" t="s">
        <v>35</v>
      </c>
      <c r="C41" s="1593" t="s">
        <v>1140</v>
      </c>
      <c r="D41" s="1587" t="s">
        <v>822</v>
      </c>
      <c r="E41" s="1559"/>
      <c r="F41" s="1560">
        <f t="shared" si="0"/>
        <v>1050</v>
      </c>
      <c r="G41" s="1561">
        <v>4</v>
      </c>
      <c r="H41" s="1562">
        <f t="shared" si="1"/>
        <v>0.16666666666666666</v>
      </c>
      <c r="I41" s="1563">
        <f t="shared" si="2"/>
        <v>44228.166666666672</v>
      </c>
      <c r="J41" s="1564">
        <f t="shared" si="3"/>
        <v>12.166666666666668</v>
      </c>
      <c r="K41" s="1569"/>
      <c r="L41" s="1566">
        <f t="shared" si="6"/>
        <v>0.16666666666666666</v>
      </c>
    </row>
    <row r="42" spans="1:12" ht="13.7" customHeight="1">
      <c r="A42" s="1556">
        <f t="shared" si="4"/>
        <v>38</v>
      </c>
      <c r="B42" s="1546" t="s">
        <v>35</v>
      </c>
      <c r="C42" s="1593" t="s">
        <v>1141</v>
      </c>
      <c r="D42" s="1587" t="s">
        <v>822</v>
      </c>
      <c r="E42" s="1559"/>
      <c r="F42" s="1560">
        <f t="shared" si="0"/>
        <v>1050</v>
      </c>
      <c r="G42" s="1561">
        <v>36</v>
      </c>
      <c r="H42" s="1562">
        <f t="shared" si="1"/>
        <v>1.5</v>
      </c>
      <c r="I42" s="1563">
        <f t="shared" si="2"/>
        <v>44229.666666666672</v>
      </c>
      <c r="J42" s="1564">
        <f t="shared" si="3"/>
        <v>13.666666666666668</v>
      </c>
      <c r="K42" s="1569"/>
      <c r="L42" s="1566">
        <f t="shared" si="6"/>
        <v>1.5</v>
      </c>
    </row>
    <row r="43" spans="1:12" ht="13.7" customHeight="1">
      <c r="A43" s="1556">
        <f t="shared" si="4"/>
        <v>39</v>
      </c>
      <c r="B43" s="1546" t="s">
        <v>35</v>
      </c>
      <c r="C43" s="1593" t="s">
        <v>1142</v>
      </c>
      <c r="D43" s="1587" t="s">
        <v>822</v>
      </c>
      <c r="E43" s="1559"/>
      <c r="F43" s="1560">
        <f t="shared" si="0"/>
        <v>1050</v>
      </c>
      <c r="G43" s="1561">
        <v>46</v>
      </c>
      <c r="H43" s="1562">
        <f t="shared" si="1"/>
        <v>1.9166666666666667</v>
      </c>
      <c r="I43" s="1563">
        <f t="shared" si="2"/>
        <v>44231.583333333336</v>
      </c>
      <c r="J43" s="1564">
        <f t="shared" si="3"/>
        <v>15.583333333333334</v>
      </c>
      <c r="K43" s="1569"/>
      <c r="L43" s="1566">
        <f t="shared" si="6"/>
        <v>1.9166666666666667</v>
      </c>
    </row>
    <row r="44" spans="1:12" ht="13.7" customHeight="1">
      <c r="A44" s="1556">
        <f t="shared" si="4"/>
        <v>40</v>
      </c>
      <c r="B44" s="1546" t="s">
        <v>35</v>
      </c>
      <c r="C44" s="1593" t="s">
        <v>1143</v>
      </c>
      <c r="D44" s="1587" t="s">
        <v>822</v>
      </c>
      <c r="E44" s="1559"/>
      <c r="F44" s="1560">
        <f t="shared" si="0"/>
        <v>1050</v>
      </c>
      <c r="G44" s="1561">
        <v>2</v>
      </c>
      <c r="H44" s="1562">
        <f t="shared" si="1"/>
        <v>8.3333333333333329E-2</v>
      </c>
      <c r="I44" s="1563">
        <f t="shared" si="2"/>
        <v>44231.666666666672</v>
      </c>
      <c r="J44" s="1564">
        <f t="shared" si="3"/>
        <v>15.666666666666668</v>
      </c>
      <c r="K44" s="1569"/>
      <c r="L44" s="1566">
        <f t="shared" si="6"/>
        <v>8.3333333333333329E-2</v>
      </c>
    </row>
    <row r="45" spans="1:12" ht="13.7" customHeight="1">
      <c r="A45" s="1556">
        <f t="shared" si="4"/>
        <v>41</v>
      </c>
      <c r="B45" s="1546" t="s">
        <v>35</v>
      </c>
      <c r="C45" s="1593" t="s">
        <v>1120</v>
      </c>
      <c r="D45" s="1587" t="s">
        <v>822</v>
      </c>
      <c r="E45" s="1559"/>
      <c r="F45" s="1560">
        <f t="shared" si="0"/>
        <v>1050</v>
      </c>
      <c r="G45" s="1561">
        <v>7</v>
      </c>
      <c r="H45" s="1562">
        <f t="shared" si="1"/>
        <v>0.29166666666666669</v>
      </c>
      <c r="I45" s="1563">
        <f t="shared" si="2"/>
        <v>44231.958333333336</v>
      </c>
      <c r="J45" s="1564">
        <f t="shared" si="3"/>
        <v>15.958333333333334</v>
      </c>
      <c r="K45" s="1569">
        <f>H45</f>
        <v>0.29166666666666669</v>
      </c>
      <c r="L45" s="1566"/>
    </row>
    <row r="46" spans="1:12" ht="13.7" customHeight="1">
      <c r="A46" s="1556">
        <f t="shared" si="4"/>
        <v>42</v>
      </c>
      <c r="B46" s="1546" t="s">
        <v>35</v>
      </c>
      <c r="C46" s="1593" t="s">
        <v>1130</v>
      </c>
      <c r="D46" s="1587" t="s">
        <v>822</v>
      </c>
      <c r="E46" s="1559"/>
      <c r="F46" s="1560">
        <f t="shared" si="0"/>
        <v>1050</v>
      </c>
      <c r="G46" s="1561">
        <v>7</v>
      </c>
      <c r="H46" s="1562">
        <f t="shared" si="1"/>
        <v>0.29166666666666669</v>
      </c>
      <c r="I46" s="1563">
        <f t="shared" si="2"/>
        <v>44232.25</v>
      </c>
      <c r="J46" s="1564">
        <f t="shared" si="3"/>
        <v>16.25</v>
      </c>
      <c r="K46" s="1569">
        <f t="shared" ref="K46:K78" si="7">H46</f>
        <v>0.29166666666666669</v>
      </c>
      <c r="L46" s="1566"/>
    </row>
    <row r="47" spans="1:12" ht="13.7" customHeight="1">
      <c r="A47" s="1556">
        <f t="shared" si="4"/>
        <v>43</v>
      </c>
      <c r="B47" s="1546" t="s">
        <v>35</v>
      </c>
      <c r="C47" s="1593" t="s">
        <v>1144</v>
      </c>
      <c r="D47" s="1587" t="s">
        <v>822</v>
      </c>
      <c r="E47" s="1559"/>
      <c r="F47" s="1560">
        <f t="shared" si="0"/>
        <v>1050</v>
      </c>
      <c r="G47" s="1561">
        <v>2</v>
      </c>
      <c r="H47" s="1562">
        <f t="shared" si="1"/>
        <v>8.3333333333333329E-2</v>
      </c>
      <c r="I47" s="1563">
        <f t="shared" si="2"/>
        <v>44232.333333333336</v>
      </c>
      <c r="J47" s="1564">
        <f t="shared" si="3"/>
        <v>16.333333333333332</v>
      </c>
      <c r="K47" s="1569">
        <f t="shared" si="7"/>
        <v>8.3333333333333329E-2</v>
      </c>
      <c r="L47" s="1566"/>
    </row>
    <row r="48" spans="1:12" ht="13.7" customHeight="1">
      <c r="A48" s="1574">
        <f t="shared" si="4"/>
        <v>44</v>
      </c>
      <c r="B48" s="1546" t="s">
        <v>35</v>
      </c>
      <c r="C48" s="1596" t="s">
        <v>1145</v>
      </c>
      <c r="D48" s="1597" t="s">
        <v>822</v>
      </c>
      <c r="E48" s="1578"/>
      <c r="F48" s="1578">
        <f t="shared" si="0"/>
        <v>1050</v>
      </c>
      <c r="G48" s="1580">
        <v>4</v>
      </c>
      <c r="H48" s="1581">
        <f t="shared" si="1"/>
        <v>0.16666666666666666</v>
      </c>
      <c r="I48" s="1582">
        <f t="shared" si="2"/>
        <v>44232.5</v>
      </c>
      <c r="J48" s="1583">
        <f t="shared" si="3"/>
        <v>16.5</v>
      </c>
      <c r="K48" s="1584">
        <f t="shared" si="7"/>
        <v>0.16666666666666666</v>
      </c>
      <c r="L48" s="1585"/>
    </row>
    <row r="49" spans="1:12" ht="13.7" customHeight="1">
      <c r="A49" s="1545">
        <f t="shared" si="4"/>
        <v>45</v>
      </c>
      <c r="B49" s="1546" t="s">
        <v>35</v>
      </c>
      <c r="C49" s="1598" t="str">
        <f>CONCATENATE("Бурение в интервале ",F48," - ",F49," м")</f>
        <v>Бурение в интервале 1050 - 1350 м</v>
      </c>
      <c r="D49" s="1599" t="s">
        <v>1146</v>
      </c>
      <c r="E49" s="1588">
        <v>300</v>
      </c>
      <c r="F49" s="1549">
        <f t="shared" si="0"/>
        <v>1350</v>
      </c>
      <c r="G49" s="1550">
        <v>30</v>
      </c>
      <c r="H49" s="1551">
        <f t="shared" si="1"/>
        <v>1.25</v>
      </c>
      <c r="I49" s="1552">
        <f t="shared" si="2"/>
        <v>44233.75</v>
      </c>
      <c r="J49" s="1553">
        <f t="shared" si="3"/>
        <v>17.75</v>
      </c>
      <c r="K49" s="1554">
        <f t="shared" si="7"/>
        <v>1.25</v>
      </c>
      <c r="L49" s="1555"/>
    </row>
    <row r="50" spans="1:12" ht="13.7" customHeight="1">
      <c r="A50" s="1556">
        <f>A48+1</f>
        <v>45</v>
      </c>
      <c r="B50" s="1546" t="s">
        <v>35</v>
      </c>
      <c r="C50" s="1590" t="s">
        <v>1147</v>
      </c>
      <c r="D50" s="1594" t="s">
        <v>1146</v>
      </c>
      <c r="E50" s="1559"/>
      <c r="F50" s="1560">
        <f t="shared" si="0"/>
        <v>1350</v>
      </c>
      <c r="G50" s="1561">
        <v>1</v>
      </c>
      <c r="H50" s="1562">
        <f t="shared" si="1"/>
        <v>4.1666666666666664E-2</v>
      </c>
      <c r="I50" s="1563">
        <f t="shared" si="2"/>
        <v>44233.791666666664</v>
      </c>
      <c r="J50" s="1564">
        <f t="shared" si="3"/>
        <v>17.791666666666668</v>
      </c>
      <c r="K50" s="1569">
        <f t="shared" si="7"/>
        <v>4.1666666666666664E-2</v>
      </c>
      <c r="L50" s="1566"/>
    </row>
    <row r="51" spans="1:12" ht="13.7" customHeight="1">
      <c r="A51" s="1556">
        <f>A49+1</f>
        <v>46</v>
      </c>
      <c r="B51" s="1546" t="s">
        <v>35</v>
      </c>
      <c r="C51" s="1595" t="s">
        <v>1148</v>
      </c>
      <c r="D51" s="1594" t="s">
        <v>1146</v>
      </c>
      <c r="E51" s="1559"/>
      <c r="F51" s="1560">
        <f t="shared" si="0"/>
        <v>1350</v>
      </c>
      <c r="G51" s="1561">
        <v>5</v>
      </c>
      <c r="H51" s="1562">
        <f t="shared" si="1"/>
        <v>0.20833333333333334</v>
      </c>
      <c r="I51" s="1563">
        <f t="shared" si="2"/>
        <v>44234</v>
      </c>
      <c r="J51" s="1564">
        <f t="shared" si="3"/>
        <v>18</v>
      </c>
      <c r="K51" s="1569">
        <f t="shared" si="7"/>
        <v>0.20833333333333334</v>
      </c>
      <c r="L51" s="1573"/>
    </row>
    <row r="52" spans="1:12" ht="13.7" customHeight="1">
      <c r="A52" s="1556">
        <f t="shared" si="4"/>
        <v>47</v>
      </c>
      <c r="B52" s="1546" t="s">
        <v>35</v>
      </c>
      <c r="C52" s="1591" t="str">
        <f>CONCATENATE("Бурение в интервале ",F51," - ",F52," м")</f>
        <v>Бурение в интервале 1350 - 1650 м</v>
      </c>
      <c r="D52" s="1571" t="s">
        <v>1146</v>
      </c>
      <c r="E52" s="1559">
        <v>300</v>
      </c>
      <c r="F52" s="1560">
        <f t="shared" si="0"/>
        <v>1650</v>
      </c>
      <c r="G52" s="1561">
        <v>30</v>
      </c>
      <c r="H52" s="1562">
        <f t="shared" si="1"/>
        <v>1.25</v>
      </c>
      <c r="I52" s="1563">
        <f t="shared" si="2"/>
        <v>44235.25</v>
      </c>
      <c r="J52" s="1564">
        <f t="shared" si="3"/>
        <v>19.25</v>
      </c>
      <c r="K52" s="1569">
        <f t="shared" si="7"/>
        <v>1.25</v>
      </c>
      <c r="L52" s="1566"/>
    </row>
    <row r="53" spans="1:12" ht="13.7" customHeight="1">
      <c r="A53" s="1556">
        <f t="shared" si="4"/>
        <v>48</v>
      </c>
      <c r="B53" s="1546" t="s">
        <v>35</v>
      </c>
      <c r="C53" s="1595" t="s">
        <v>1149</v>
      </c>
      <c r="D53" s="1594" t="s">
        <v>1146</v>
      </c>
      <c r="E53" s="1559"/>
      <c r="F53" s="1560">
        <f t="shared" si="0"/>
        <v>1650</v>
      </c>
      <c r="G53" s="1561">
        <v>1</v>
      </c>
      <c r="H53" s="1562">
        <f t="shared" si="1"/>
        <v>4.1666666666666664E-2</v>
      </c>
      <c r="I53" s="1563">
        <f t="shared" si="2"/>
        <v>44235.291666666664</v>
      </c>
      <c r="J53" s="1564">
        <f t="shared" si="3"/>
        <v>19.291666666666668</v>
      </c>
      <c r="K53" s="1569">
        <f t="shared" si="7"/>
        <v>4.1666666666666664E-2</v>
      </c>
      <c r="L53" s="1573"/>
    </row>
    <row r="54" spans="1:12" ht="13.7" customHeight="1">
      <c r="A54" s="1556">
        <f t="shared" si="4"/>
        <v>49</v>
      </c>
      <c r="B54" s="1546" t="s">
        <v>35</v>
      </c>
      <c r="C54" s="1595" t="s">
        <v>1148</v>
      </c>
      <c r="D54" s="1594" t="s">
        <v>1146</v>
      </c>
      <c r="E54" s="1559"/>
      <c r="F54" s="1560">
        <f t="shared" si="0"/>
        <v>1650</v>
      </c>
      <c r="G54" s="1561">
        <v>5</v>
      </c>
      <c r="H54" s="1562">
        <f t="shared" si="1"/>
        <v>0.20833333333333334</v>
      </c>
      <c r="I54" s="1563">
        <f t="shared" si="2"/>
        <v>44235.5</v>
      </c>
      <c r="J54" s="1564">
        <f t="shared" si="3"/>
        <v>19.5</v>
      </c>
      <c r="K54" s="1569">
        <f t="shared" si="7"/>
        <v>0.20833333333333334</v>
      </c>
      <c r="L54" s="1566"/>
    </row>
    <row r="55" spans="1:12" ht="13.7" customHeight="1">
      <c r="A55" s="1556">
        <f t="shared" si="4"/>
        <v>50</v>
      </c>
      <c r="B55" s="1546" t="s">
        <v>35</v>
      </c>
      <c r="C55" s="1591" t="str">
        <f>CONCATENATE("Бурение в интервале ",F54," - ",F55," м")</f>
        <v>Бурение в интервале 1650 - 1950 м</v>
      </c>
      <c r="D55" s="1571" t="s">
        <v>1146</v>
      </c>
      <c r="E55" s="1559">
        <v>300</v>
      </c>
      <c r="F55" s="1560">
        <f t="shared" si="0"/>
        <v>1950</v>
      </c>
      <c r="G55" s="1561">
        <v>30</v>
      </c>
      <c r="H55" s="1562">
        <f t="shared" si="1"/>
        <v>1.25</v>
      </c>
      <c r="I55" s="1563">
        <f t="shared" si="2"/>
        <v>44236.75</v>
      </c>
      <c r="J55" s="1564">
        <f t="shared" si="3"/>
        <v>20.75</v>
      </c>
      <c r="K55" s="1569">
        <f t="shared" si="7"/>
        <v>1.25</v>
      </c>
      <c r="L55" s="1573"/>
    </row>
    <row r="56" spans="1:12" ht="13.7" customHeight="1">
      <c r="A56" s="1556">
        <f t="shared" si="4"/>
        <v>51</v>
      </c>
      <c r="B56" s="1546" t="s">
        <v>35</v>
      </c>
      <c r="C56" s="1590" t="s">
        <v>1147</v>
      </c>
      <c r="D56" s="1594" t="s">
        <v>1146</v>
      </c>
      <c r="E56" s="1559"/>
      <c r="F56" s="1560">
        <f t="shared" si="0"/>
        <v>1950</v>
      </c>
      <c r="G56" s="1561">
        <v>1</v>
      </c>
      <c r="H56" s="1562">
        <f t="shared" si="1"/>
        <v>4.1666666666666664E-2</v>
      </c>
      <c r="I56" s="1563">
        <f t="shared" si="2"/>
        <v>44236.791666666664</v>
      </c>
      <c r="J56" s="1564">
        <f t="shared" si="3"/>
        <v>20.791666666666668</v>
      </c>
      <c r="K56" s="1569">
        <f t="shared" si="7"/>
        <v>4.1666666666666664E-2</v>
      </c>
      <c r="L56" s="1555"/>
    </row>
    <row r="57" spans="1:12" ht="13.7" customHeight="1">
      <c r="A57" s="1556">
        <f t="shared" si="4"/>
        <v>52</v>
      </c>
      <c r="B57" s="1546" t="s">
        <v>35</v>
      </c>
      <c r="C57" s="1595" t="s">
        <v>1122</v>
      </c>
      <c r="D57" s="1594" t="s">
        <v>1146</v>
      </c>
      <c r="E57" s="1559"/>
      <c r="F57" s="1560">
        <f t="shared" si="0"/>
        <v>1950</v>
      </c>
      <c r="G57" s="1561">
        <v>10</v>
      </c>
      <c r="H57" s="1562">
        <f t="shared" si="1"/>
        <v>0.41666666666666669</v>
      </c>
      <c r="I57" s="1563">
        <f t="shared" si="2"/>
        <v>44237.208333333328</v>
      </c>
      <c r="J57" s="1564">
        <f t="shared" si="3"/>
        <v>21.208333333333336</v>
      </c>
      <c r="K57" s="1569">
        <f t="shared" si="7"/>
        <v>0.41666666666666669</v>
      </c>
      <c r="L57" s="1566"/>
    </row>
    <row r="58" spans="1:12" ht="13.7" customHeight="1">
      <c r="A58" s="1556">
        <f t="shared" si="4"/>
        <v>53</v>
      </c>
      <c r="B58" s="1546" t="s">
        <v>35</v>
      </c>
      <c r="C58" s="1595" t="s">
        <v>1123</v>
      </c>
      <c r="D58" s="1594" t="s">
        <v>1146</v>
      </c>
      <c r="E58" s="1559"/>
      <c r="F58" s="1560">
        <f t="shared" si="0"/>
        <v>1950</v>
      </c>
      <c r="G58" s="1561">
        <v>7</v>
      </c>
      <c r="H58" s="1562">
        <f t="shared" si="1"/>
        <v>0.29166666666666669</v>
      </c>
      <c r="I58" s="1563">
        <f t="shared" si="2"/>
        <v>44237.499999999993</v>
      </c>
      <c r="J58" s="1564">
        <f t="shared" si="3"/>
        <v>21.500000000000004</v>
      </c>
      <c r="K58" s="1569">
        <f t="shared" si="7"/>
        <v>0.29166666666666669</v>
      </c>
      <c r="L58" s="1566"/>
    </row>
    <row r="59" spans="1:12" ht="13.7" customHeight="1">
      <c r="A59" s="1556">
        <f t="shared" si="4"/>
        <v>54</v>
      </c>
      <c r="B59" s="1546" t="s">
        <v>35</v>
      </c>
      <c r="C59" s="1595" t="s">
        <v>1120</v>
      </c>
      <c r="D59" s="1594" t="s">
        <v>1146</v>
      </c>
      <c r="E59" s="1559"/>
      <c r="F59" s="1560">
        <f t="shared" si="0"/>
        <v>1950</v>
      </c>
      <c r="G59" s="1561">
        <v>7</v>
      </c>
      <c r="H59" s="1562">
        <f t="shared" si="1"/>
        <v>0.29166666666666669</v>
      </c>
      <c r="I59" s="1563">
        <f t="shared" si="2"/>
        <v>44237.791666666657</v>
      </c>
      <c r="J59" s="1564">
        <f t="shared" si="3"/>
        <v>21.791666666666671</v>
      </c>
      <c r="K59" s="1569">
        <f t="shared" si="7"/>
        <v>0.29166666666666669</v>
      </c>
      <c r="L59" s="1566"/>
    </row>
    <row r="60" spans="1:12" ht="13.7" customHeight="1">
      <c r="A60" s="1556">
        <f t="shared" si="4"/>
        <v>55</v>
      </c>
      <c r="B60" s="1546" t="s">
        <v>35</v>
      </c>
      <c r="C60" s="1595" t="s">
        <v>1130</v>
      </c>
      <c r="D60" s="1594" t="s">
        <v>1146</v>
      </c>
      <c r="E60" s="1559"/>
      <c r="F60" s="1560">
        <f t="shared" si="0"/>
        <v>1950</v>
      </c>
      <c r="G60" s="1561">
        <v>10</v>
      </c>
      <c r="H60" s="1562">
        <f t="shared" si="1"/>
        <v>0.41666666666666669</v>
      </c>
      <c r="I60" s="1563">
        <f t="shared" si="2"/>
        <v>44238.208333333321</v>
      </c>
      <c r="J60" s="1564">
        <f t="shared" si="3"/>
        <v>22.208333333333339</v>
      </c>
      <c r="K60" s="1569">
        <f t="shared" si="7"/>
        <v>0.41666666666666669</v>
      </c>
      <c r="L60" s="1566"/>
    </row>
    <row r="61" spans="1:12" ht="13.7" customHeight="1">
      <c r="A61" s="1556">
        <f t="shared" si="4"/>
        <v>56</v>
      </c>
      <c r="B61" s="1546" t="s">
        <v>35</v>
      </c>
      <c r="C61" s="1591" t="str">
        <f>CONCATENATE("Бурение в интервале ",F60," - ",F61," м")</f>
        <v>Бурение в интервале 1950 - 2250 м</v>
      </c>
      <c r="D61" s="1571" t="s">
        <v>1146</v>
      </c>
      <c r="E61" s="1559">
        <v>300</v>
      </c>
      <c r="F61" s="1560">
        <f t="shared" si="0"/>
        <v>2250</v>
      </c>
      <c r="G61" s="1561">
        <v>30</v>
      </c>
      <c r="H61" s="1562">
        <f t="shared" si="1"/>
        <v>1.25</v>
      </c>
      <c r="I61" s="1563">
        <f t="shared" si="2"/>
        <v>44239.458333333321</v>
      </c>
      <c r="J61" s="1564">
        <f t="shared" si="3"/>
        <v>23.458333333333339</v>
      </c>
      <c r="K61" s="1569">
        <f t="shared" si="7"/>
        <v>1.25</v>
      </c>
      <c r="L61" s="1566"/>
    </row>
    <row r="62" spans="1:12" ht="13.7" customHeight="1">
      <c r="A62" s="1556">
        <f t="shared" si="4"/>
        <v>57</v>
      </c>
      <c r="B62" s="1546" t="s">
        <v>35</v>
      </c>
      <c r="C62" s="1590" t="s">
        <v>1147</v>
      </c>
      <c r="D62" s="1594" t="s">
        <v>1146</v>
      </c>
      <c r="E62" s="1559"/>
      <c r="F62" s="1560">
        <f t="shared" si="0"/>
        <v>2250</v>
      </c>
      <c r="G62" s="1561">
        <v>1</v>
      </c>
      <c r="H62" s="1562">
        <f t="shared" si="1"/>
        <v>4.1666666666666664E-2</v>
      </c>
      <c r="I62" s="1563">
        <f t="shared" si="2"/>
        <v>44239.499999999985</v>
      </c>
      <c r="J62" s="1564">
        <f t="shared" si="3"/>
        <v>23.500000000000007</v>
      </c>
      <c r="K62" s="1569">
        <f t="shared" si="7"/>
        <v>4.1666666666666664E-2</v>
      </c>
      <c r="L62" s="1566"/>
    </row>
    <row r="63" spans="1:12" ht="13.7" customHeight="1">
      <c r="A63" s="1556">
        <f t="shared" si="4"/>
        <v>58</v>
      </c>
      <c r="B63" s="1546" t="s">
        <v>35</v>
      </c>
      <c r="C63" s="1595" t="s">
        <v>1148</v>
      </c>
      <c r="D63" s="1594" t="s">
        <v>1146</v>
      </c>
      <c r="E63" s="1559"/>
      <c r="F63" s="1560">
        <f t="shared" si="0"/>
        <v>2250</v>
      </c>
      <c r="G63" s="1561">
        <v>5</v>
      </c>
      <c r="H63" s="1562">
        <f t="shared" si="1"/>
        <v>0.20833333333333334</v>
      </c>
      <c r="I63" s="1563">
        <f t="shared" si="2"/>
        <v>44239.708333333321</v>
      </c>
      <c r="J63" s="1564">
        <f t="shared" si="3"/>
        <v>23.708333333333339</v>
      </c>
      <c r="K63" s="1569">
        <f t="shared" si="7"/>
        <v>0.20833333333333334</v>
      </c>
      <c r="L63" s="1566"/>
    </row>
    <row r="64" spans="1:12" ht="13.7" customHeight="1">
      <c r="A64" s="1556">
        <f t="shared" si="4"/>
        <v>59</v>
      </c>
      <c r="B64" s="1546" t="s">
        <v>35</v>
      </c>
      <c r="C64" s="1591" t="str">
        <f>CONCATENATE("Бурение в интервале ",F63," - ",F64," м")</f>
        <v>Бурение в интервале 2250 - 2550 м</v>
      </c>
      <c r="D64" s="1571" t="s">
        <v>1146</v>
      </c>
      <c r="E64" s="1559">
        <v>300</v>
      </c>
      <c r="F64" s="1560">
        <f t="shared" si="0"/>
        <v>2550</v>
      </c>
      <c r="G64" s="1561">
        <v>30</v>
      </c>
      <c r="H64" s="1562">
        <f t="shared" si="1"/>
        <v>1.25</v>
      </c>
      <c r="I64" s="1563">
        <f t="shared" si="2"/>
        <v>44240.958333333321</v>
      </c>
      <c r="J64" s="1564">
        <f t="shared" si="3"/>
        <v>24.958333333333339</v>
      </c>
      <c r="K64" s="1569">
        <f t="shared" si="7"/>
        <v>1.25</v>
      </c>
      <c r="L64" s="1566"/>
    </row>
    <row r="65" spans="1:12" ht="13.7" customHeight="1">
      <c r="A65" s="1556">
        <f t="shared" si="4"/>
        <v>60</v>
      </c>
      <c r="B65" s="1546" t="s">
        <v>35</v>
      </c>
      <c r="C65" s="1590" t="s">
        <v>1147</v>
      </c>
      <c r="D65" s="1594" t="s">
        <v>1146</v>
      </c>
      <c r="E65" s="1559"/>
      <c r="F65" s="1560">
        <f t="shared" si="0"/>
        <v>2550</v>
      </c>
      <c r="G65" s="1561">
        <v>1</v>
      </c>
      <c r="H65" s="1562">
        <f t="shared" si="1"/>
        <v>4.1666666666666664E-2</v>
      </c>
      <c r="I65" s="1563">
        <f t="shared" si="2"/>
        <v>44240.999999999985</v>
      </c>
      <c r="J65" s="1564">
        <f t="shared" si="3"/>
        <v>25.000000000000007</v>
      </c>
      <c r="K65" s="1569">
        <f t="shared" si="7"/>
        <v>4.1666666666666664E-2</v>
      </c>
      <c r="L65" s="1566"/>
    </row>
    <row r="66" spans="1:12" ht="13.7" customHeight="1">
      <c r="A66" s="1556">
        <f t="shared" si="4"/>
        <v>61</v>
      </c>
      <c r="B66" s="1546" t="s">
        <v>35</v>
      </c>
      <c r="C66" s="1595" t="s">
        <v>1148</v>
      </c>
      <c r="D66" s="1594" t="s">
        <v>1146</v>
      </c>
      <c r="E66" s="1559"/>
      <c r="F66" s="1560">
        <f t="shared" si="0"/>
        <v>2550</v>
      </c>
      <c r="G66" s="1561">
        <v>5</v>
      </c>
      <c r="H66" s="1562">
        <f t="shared" si="1"/>
        <v>0.20833333333333334</v>
      </c>
      <c r="I66" s="1563">
        <f t="shared" si="2"/>
        <v>44241.208333333321</v>
      </c>
      <c r="J66" s="1564">
        <f t="shared" si="3"/>
        <v>25.208333333333339</v>
      </c>
      <c r="K66" s="1569">
        <f t="shared" si="7"/>
        <v>0.20833333333333334</v>
      </c>
      <c r="L66" s="1566"/>
    </row>
    <row r="67" spans="1:12" ht="13.7" customHeight="1">
      <c r="A67" s="1556">
        <f t="shared" si="4"/>
        <v>62</v>
      </c>
      <c r="B67" s="1546" t="s">
        <v>35</v>
      </c>
      <c r="C67" s="1591" t="str">
        <f>CONCATENATE("Бурение в интервале ",F66," - ",F67," м")</f>
        <v>Бурение в интервале 2550 - 2850 м</v>
      </c>
      <c r="D67" s="1571" t="s">
        <v>1146</v>
      </c>
      <c r="E67" s="1559">
        <v>300</v>
      </c>
      <c r="F67" s="1560">
        <f t="shared" si="0"/>
        <v>2850</v>
      </c>
      <c r="G67" s="1561">
        <v>30</v>
      </c>
      <c r="H67" s="1562">
        <f t="shared" si="1"/>
        <v>1.25</v>
      </c>
      <c r="I67" s="1563">
        <f t="shared" si="2"/>
        <v>44242.458333333321</v>
      </c>
      <c r="J67" s="1564">
        <f t="shared" si="3"/>
        <v>26.458333333333339</v>
      </c>
      <c r="K67" s="1569">
        <f t="shared" si="7"/>
        <v>1.25</v>
      </c>
      <c r="L67" s="1566"/>
    </row>
    <row r="68" spans="1:12" ht="13.7" customHeight="1">
      <c r="A68" s="1556">
        <f t="shared" si="4"/>
        <v>63</v>
      </c>
      <c r="B68" s="1546" t="s">
        <v>35</v>
      </c>
      <c r="C68" s="1590" t="s">
        <v>1147</v>
      </c>
      <c r="D68" s="1594" t="s">
        <v>1146</v>
      </c>
      <c r="E68" s="1559"/>
      <c r="F68" s="1560">
        <f t="shared" si="0"/>
        <v>2850</v>
      </c>
      <c r="G68" s="1561">
        <v>3</v>
      </c>
      <c r="H68" s="1562">
        <f t="shared" si="1"/>
        <v>0.125</v>
      </c>
      <c r="I68" s="1563">
        <f t="shared" si="2"/>
        <v>44242.583333333321</v>
      </c>
      <c r="J68" s="1564">
        <f t="shared" si="3"/>
        <v>26.583333333333339</v>
      </c>
      <c r="K68" s="1569">
        <f t="shared" si="7"/>
        <v>0.125</v>
      </c>
      <c r="L68" s="1566"/>
    </row>
    <row r="69" spans="1:12" ht="13.7" customHeight="1">
      <c r="A69" s="1556">
        <f t="shared" si="4"/>
        <v>64</v>
      </c>
      <c r="B69" s="1546" t="s">
        <v>35</v>
      </c>
      <c r="C69" s="1595" t="s">
        <v>1122</v>
      </c>
      <c r="D69" s="1594" t="s">
        <v>1146</v>
      </c>
      <c r="E69" s="1559"/>
      <c r="F69" s="1560">
        <f t="shared" si="0"/>
        <v>2850</v>
      </c>
      <c r="G69" s="1561">
        <v>12</v>
      </c>
      <c r="H69" s="1562">
        <f t="shared" si="1"/>
        <v>0.5</v>
      </c>
      <c r="I69" s="1563">
        <f t="shared" si="2"/>
        <v>44243.083333333321</v>
      </c>
      <c r="J69" s="1564">
        <f t="shared" si="3"/>
        <v>27.083333333333339</v>
      </c>
      <c r="K69" s="1569">
        <f t="shared" si="7"/>
        <v>0.5</v>
      </c>
      <c r="L69" s="1566"/>
    </row>
    <row r="70" spans="1:12" ht="13.7" customHeight="1">
      <c r="A70" s="1556">
        <f t="shared" si="4"/>
        <v>65</v>
      </c>
      <c r="B70" s="1546" t="s">
        <v>35</v>
      </c>
      <c r="C70" s="1595" t="s">
        <v>1123</v>
      </c>
      <c r="D70" s="1594" t="s">
        <v>1146</v>
      </c>
      <c r="E70" s="1559"/>
      <c r="F70" s="1560">
        <f t="shared" ref="F70:F133" si="8">E70+F69</f>
        <v>2850</v>
      </c>
      <c r="G70" s="1561">
        <v>7</v>
      </c>
      <c r="H70" s="1562">
        <f t="shared" ref="H70:H133" si="9">G70/24</f>
        <v>0.29166666666666669</v>
      </c>
      <c r="I70" s="1563">
        <f t="shared" ref="I70:I133" si="10">I69+H70</f>
        <v>44243.374999999985</v>
      </c>
      <c r="J70" s="1564">
        <f t="shared" ref="J70:J133" si="11">J69+H70</f>
        <v>27.375000000000007</v>
      </c>
      <c r="K70" s="1569">
        <f t="shared" si="7"/>
        <v>0.29166666666666669</v>
      </c>
      <c r="L70" s="1566"/>
    </row>
    <row r="71" spans="1:12" ht="13.7" customHeight="1">
      <c r="A71" s="1556">
        <f t="shared" ref="A71:A134" si="12">A70+1</f>
        <v>66</v>
      </c>
      <c r="B71" s="1546" t="s">
        <v>35</v>
      </c>
      <c r="C71" s="1595" t="s">
        <v>1120</v>
      </c>
      <c r="D71" s="1594" t="s">
        <v>1146</v>
      </c>
      <c r="E71" s="1559"/>
      <c r="F71" s="1560">
        <f t="shared" si="8"/>
        <v>2850</v>
      </c>
      <c r="G71" s="1561">
        <v>7</v>
      </c>
      <c r="H71" s="1562">
        <f t="shared" si="9"/>
        <v>0.29166666666666669</v>
      </c>
      <c r="I71" s="1563">
        <f t="shared" si="10"/>
        <v>44243.66666666665</v>
      </c>
      <c r="J71" s="1564">
        <f t="shared" si="11"/>
        <v>27.666666666666675</v>
      </c>
      <c r="K71" s="1569">
        <f t="shared" si="7"/>
        <v>0.29166666666666669</v>
      </c>
      <c r="L71" s="1566"/>
    </row>
    <row r="72" spans="1:12" ht="13.7" customHeight="1">
      <c r="A72" s="1556">
        <f t="shared" si="12"/>
        <v>67</v>
      </c>
      <c r="B72" s="1546" t="s">
        <v>35</v>
      </c>
      <c r="C72" s="1595" t="s">
        <v>1130</v>
      </c>
      <c r="D72" s="1594" t="s">
        <v>1146</v>
      </c>
      <c r="E72" s="1559"/>
      <c r="F72" s="1560">
        <f t="shared" si="8"/>
        <v>2850</v>
      </c>
      <c r="G72" s="1600">
        <v>12</v>
      </c>
      <c r="H72" s="1562">
        <f t="shared" si="9"/>
        <v>0.5</v>
      </c>
      <c r="I72" s="1563">
        <f t="shared" si="10"/>
        <v>44244.16666666665</v>
      </c>
      <c r="J72" s="1564">
        <f t="shared" si="11"/>
        <v>28.166666666666675</v>
      </c>
      <c r="K72" s="1569">
        <f t="shared" si="7"/>
        <v>0.5</v>
      </c>
      <c r="L72" s="1566"/>
    </row>
    <row r="73" spans="1:12" ht="13.7" customHeight="1">
      <c r="A73" s="1556">
        <f t="shared" si="12"/>
        <v>68</v>
      </c>
      <c r="B73" s="1546" t="s">
        <v>35</v>
      </c>
      <c r="C73" s="1591" t="str">
        <f>CONCATENATE("Бурение в интервале ",F72," - ",F73," м")</f>
        <v>Бурение в интервале 2850 - 3150 м</v>
      </c>
      <c r="D73" s="1571" t="s">
        <v>1146</v>
      </c>
      <c r="E73" s="1559">
        <v>300</v>
      </c>
      <c r="F73" s="1560">
        <f t="shared" si="8"/>
        <v>3150</v>
      </c>
      <c r="G73" s="1600">
        <v>30</v>
      </c>
      <c r="H73" s="1562">
        <f t="shared" si="9"/>
        <v>1.25</v>
      </c>
      <c r="I73" s="1563">
        <f t="shared" si="10"/>
        <v>44245.41666666665</v>
      </c>
      <c r="J73" s="1564">
        <f t="shared" si="11"/>
        <v>29.416666666666675</v>
      </c>
      <c r="K73" s="1569">
        <f t="shared" si="7"/>
        <v>1.25</v>
      </c>
      <c r="L73" s="1566"/>
    </row>
    <row r="74" spans="1:12" ht="13.7" customHeight="1">
      <c r="A74" s="1556">
        <f t="shared" si="12"/>
        <v>69</v>
      </c>
      <c r="B74" s="1546" t="s">
        <v>35</v>
      </c>
      <c r="C74" s="1590" t="s">
        <v>1147</v>
      </c>
      <c r="D74" s="1594" t="s">
        <v>1146</v>
      </c>
      <c r="E74" s="1559"/>
      <c r="F74" s="1560">
        <f t="shared" si="8"/>
        <v>3150</v>
      </c>
      <c r="G74" s="1601">
        <v>1.5</v>
      </c>
      <c r="H74" s="1562">
        <f t="shared" si="9"/>
        <v>6.25E-2</v>
      </c>
      <c r="I74" s="1563">
        <f t="shared" si="10"/>
        <v>44245.47916666665</v>
      </c>
      <c r="J74" s="1564">
        <f t="shared" si="11"/>
        <v>29.479166666666675</v>
      </c>
      <c r="K74" s="1569">
        <f t="shared" si="7"/>
        <v>6.25E-2</v>
      </c>
      <c r="L74" s="1566"/>
    </row>
    <row r="75" spans="1:12" ht="13.7" customHeight="1">
      <c r="A75" s="1556">
        <f t="shared" si="12"/>
        <v>70</v>
      </c>
      <c r="B75" s="1546" t="s">
        <v>35</v>
      </c>
      <c r="C75" s="1595" t="s">
        <v>1136</v>
      </c>
      <c r="D75" s="1594" t="s">
        <v>1146</v>
      </c>
      <c r="E75" s="1559"/>
      <c r="F75" s="1560">
        <f t="shared" si="8"/>
        <v>3150</v>
      </c>
      <c r="G75" s="1601">
        <v>13</v>
      </c>
      <c r="H75" s="1562">
        <f t="shared" si="9"/>
        <v>0.54166666666666663</v>
      </c>
      <c r="I75" s="1563">
        <f t="shared" si="10"/>
        <v>44246.020833333314</v>
      </c>
      <c r="J75" s="1564">
        <f t="shared" si="11"/>
        <v>30.020833333333343</v>
      </c>
      <c r="K75" s="1569">
        <f t="shared" si="7"/>
        <v>0.54166666666666663</v>
      </c>
      <c r="L75" s="1566"/>
    </row>
    <row r="76" spans="1:12" ht="13.7" customHeight="1">
      <c r="A76" s="1556">
        <f t="shared" si="12"/>
        <v>71</v>
      </c>
      <c r="B76" s="1546" t="s">
        <v>35</v>
      </c>
      <c r="C76" s="1590" t="s">
        <v>1150</v>
      </c>
      <c r="D76" s="1594" t="s">
        <v>1146</v>
      </c>
      <c r="E76" s="1559"/>
      <c r="F76" s="1560">
        <f t="shared" si="8"/>
        <v>3150</v>
      </c>
      <c r="G76" s="1601">
        <v>3</v>
      </c>
      <c r="H76" s="1562">
        <f t="shared" si="9"/>
        <v>0.125</v>
      </c>
      <c r="I76" s="1563">
        <f t="shared" si="10"/>
        <v>44246.145833333314</v>
      </c>
      <c r="J76" s="1564">
        <f t="shared" si="11"/>
        <v>30.145833333333343</v>
      </c>
      <c r="K76" s="1569">
        <f t="shared" si="7"/>
        <v>0.125</v>
      </c>
      <c r="L76" s="1566"/>
    </row>
    <row r="77" spans="1:12" ht="13.7" customHeight="1">
      <c r="A77" s="1556">
        <f t="shared" si="12"/>
        <v>72</v>
      </c>
      <c r="B77" s="1546" t="s">
        <v>35</v>
      </c>
      <c r="C77" s="1595" t="s">
        <v>1122</v>
      </c>
      <c r="D77" s="1594" t="s">
        <v>1146</v>
      </c>
      <c r="E77" s="1559"/>
      <c r="F77" s="1560">
        <f t="shared" si="8"/>
        <v>3150</v>
      </c>
      <c r="G77" s="1601">
        <v>13</v>
      </c>
      <c r="H77" s="1562">
        <f t="shared" si="9"/>
        <v>0.54166666666666663</v>
      </c>
      <c r="I77" s="1563">
        <f t="shared" si="10"/>
        <v>44246.687499999978</v>
      </c>
      <c r="J77" s="1564">
        <f t="shared" si="11"/>
        <v>30.687500000000011</v>
      </c>
      <c r="K77" s="1569">
        <f t="shared" si="7"/>
        <v>0.54166666666666663</v>
      </c>
      <c r="L77" s="1566"/>
    </row>
    <row r="78" spans="1:12" ht="13.7" customHeight="1">
      <c r="A78" s="1556">
        <f t="shared" si="12"/>
        <v>73</v>
      </c>
      <c r="B78" s="1546" t="s">
        <v>35</v>
      </c>
      <c r="C78" s="1595" t="s">
        <v>1123</v>
      </c>
      <c r="D78" s="1594" t="s">
        <v>1146</v>
      </c>
      <c r="E78" s="1559"/>
      <c r="F78" s="1560">
        <f t="shared" si="8"/>
        <v>3150</v>
      </c>
      <c r="G78" s="1601">
        <v>7</v>
      </c>
      <c r="H78" s="1562">
        <f t="shared" si="9"/>
        <v>0.29166666666666669</v>
      </c>
      <c r="I78" s="1563">
        <f t="shared" si="10"/>
        <v>44246.979166666642</v>
      </c>
      <c r="J78" s="1564">
        <f t="shared" si="11"/>
        <v>30.979166666666679</v>
      </c>
      <c r="K78" s="1569">
        <f t="shared" si="7"/>
        <v>0.29166666666666669</v>
      </c>
      <c r="L78" s="1566"/>
    </row>
    <row r="79" spans="1:12" ht="13.7" customHeight="1">
      <c r="A79" s="1556">
        <f>A78+1</f>
        <v>74</v>
      </c>
      <c r="B79" s="1546" t="s">
        <v>35</v>
      </c>
      <c r="C79" s="1593" t="s">
        <v>1151</v>
      </c>
      <c r="D79" s="1594" t="s">
        <v>1146</v>
      </c>
      <c r="E79" s="1559"/>
      <c r="F79" s="1560">
        <f>E79+F78</f>
        <v>3150</v>
      </c>
      <c r="G79" s="1561">
        <v>24</v>
      </c>
      <c r="H79" s="1562">
        <f t="shared" si="9"/>
        <v>1</v>
      </c>
      <c r="I79" s="1563">
        <f t="shared" si="10"/>
        <v>44247.979166666642</v>
      </c>
      <c r="J79" s="1564">
        <f t="shared" si="11"/>
        <v>31.979166666666679</v>
      </c>
      <c r="K79" s="1569"/>
      <c r="L79" s="1566">
        <f>H79</f>
        <v>1</v>
      </c>
    </row>
    <row r="80" spans="1:12" ht="13.7" customHeight="1">
      <c r="A80" s="1556">
        <f t="shared" si="12"/>
        <v>75</v>
      </c>
      <c r="B80" s="1546" t="s">
        <v>35</v>
      </c>
      <c r="C80" s="1595" t="s">
        <v>1120</v>
      </c>
      <c r="D80" s="1594" t="s">
        <v>1146</v>
      </c>
      <c r="E80" s="1559"/>
      <c r="F80" s="1560">
        <f t="shared" si="8"/>
        <v>3150</v>
      </c>
      <c r="G80" s="1561">
        <v>3</v>
      </c>
      <c r="H80" s="1562">
        <f t="shared" si="9"/>
        <v>0.125</v>
      </c>
      <c r="I80" s="1563">
        <f t="shared" si="10"/>
        <v>44248.104166666642</v>
      </c>
      <c r="J80" s="1564">
        <f t="shared" si="11"/>
        <v>32.104166666666679</v>
      </c>
      <c r="K80" s="1569"/>
      <c r="L80" s="1566">
        <f t="shared" ref="L80:L90" si="13">H80</f>
        <v>0.125</v>
      </c>
    </row>
    <row r="81" spans="1:12" ht="13.7" customHeight="1">
      <c r="A81" s="1556">
        <f t="shared" si="12"/>
        <v>76</v>
      </c>
      <c r="B81" s="1546" t="s">
        <v>35</v>
      </c>
      <c r="C81" s="1593" t="s">
        <v>1152</v>
      </c>
      <c r="D81" s="1594" t="s">
        <v>1146</v>
      </c>
      <c r="E81" s="1559"/>
      <c r="F81" s="1560">
        <f t="shared" si="8"/>
        <v>3150</v>
      </c>
      <c r="G81" s="1561">
        <v>13</v>
      </c>
      <c r="H81" s="1562">
        <f t="shared" si="9"/>
        <v>0.54166666666666663</v>
      </c>
      <c r="I81" s="1563">
        <f t="shared" si="10"/>
        <v>44248.645833333307</v>
      </c>
      <c r="J81" s="1564">
        <f t="shared" si="11"/>
        <v>32.645833333333343</v>
      </c>
      <c r="K81" s="1569"/>
      <c r="L81" s="1566">
        <f t="shared" si="13"/>
        <v>0.54166666666666663</v>
      </c>
    </row>
    <row r="82" spans="1:12" ht="13.7" customHeight="1">
      <c r="A82" s="1556">
        <f t="shared" si="12"/>
        <v>77</v>
      </c>
      <c r="B82" s="1546" t="s">
        <v>35</v>
      </c>
      <c r="C82" s="1590" t="s">
        <v>1137</v>
      </c>
      <c r="D82" s="1594" t="s">
        <v>1146</v>
      </c>
      <c r="E82" s="1559"/>
      <c r="F82" s="1560">
        <f t="shared" si="8"/>
        <v>3150</v>
      </c>
      <c r="G82" s="1561">
        <v>3</v>
      </c>
      <c r="H82" s="1562">
        <f t="shared" si="9"/>
        <v>0.125</v>
      </c>
      <c r="I82" s="1563">
        <f t="shared" si="10"/>
        <v>44248.770833333307</v>
      </c>
      <c r="J82" s="1564">
        <f t="shared" si="11"/>
        <v>32.770833333333343</v>
      </c>
      <c r="K82" s="1569"/>
      <c r="L82" s="1566">
        <f t="shared" si="13"/>
        <v>0.125</v>
      </c>
    </row>
    <row r="83" spans="1:12" ht="13.7" customHeight="1">
      <c r="A83" s="1556">
        <f t="shared" si="12"/>
        <v>78</v>
      </c>
      <c r="B83" s="1546" t="s">
        <v>35</v>
      </c>
      <c r="C83" s="1595" t="s">
        <v>1122</v>
      </c>
      <c r="D83" s="1594" t="s">
        <v>1146</v>
      </c>
      <c r="E83" s="1559"/>
      <c r="F83" s="1560">
        <f t="shared" si="8"/>
        <v>3150</v>
      </c>
      <c r="G83" s="1561">
        <v>13</v>
      </c>
      <c r="H83" s="1562">
        <f t="shared" si="9"/>
        <v>0.54166666666666663</v>
      </c>
      <c r="I83" s="1563">
        <f t="shared" si="10"/>
        <v>44249.312499999971</v>
      </c>
      <c r="J83" s="1564">
        <f t="shared" si="11"/>
        <v>33.312500000000007</v>
      </c>
      <c r="K83" s="1569"/>
      <c r="L83" s="1566">
        <f t="shared" si="13"/>
        <v>0.54166666666666663</v>
      </c>
    </row>
    <row r="84" spans="1:12" ht="13.7" customHeight="1">
      <c r="A84" s="1556">
        <f t="shared" si="12"/>
        <v>79</v>
      </c>
      <c r="B84" s="1546" t="s">
        <v>35</v>
      </c>
      <c r="C84" s="1595" t="s">
        <v>1123</v>
      </c>
      <c r="D84" s="1594" t="s">
        <v>1146</v>
      </c>
      <c r="E84" s="1559"/>
      <c r="F84" s="1560">
        <f t="shared" si="8"/>
        <v>3150</v>
      </c>
      <c r="G84" s="1561">
        <v>3</v>
      </c>
      <c r="H84" s="1562">
        <f t="shared" si="9"/>
        <v>0.125</v>
      </c>
      <c r="I84" s="1563">
        <f t="shared" si="10"/>
        <v>44249.437499999971</v>
      </c>
      <c r="J84" s="1564">
        <f t="shared" si="11"/>
        <v>33.437500000000007</v>
      </c>
      <c r="K84" s="1569"/>
      <c r="L84" s="1566">
        <f t="shared" si="13"/>
        <v>0.125</v>
      </c>
    </row>
    <row r="85" spans="1:12" ht="13.7" customHeight="1">
      <c r="A85" s="1556">
        <f t="shared" si="12"/>
        <v>80</v>
      </c>
      <c r="B85" s="1546" t="s">
        <v>35</v>
      </c>
      <c r="C85" s="1595" t="s">
        <v>1153</v>
      </c>
      <c r="D85" s="1594" t="s">
        <v>1146</v>
      </c>
      <c r="E85" s="1559"/>
      <c r="F85" s="1560">
        <f t="shared" si="8"/>
        <v>3150</v>
      </c>
      <c r="G85" s="1561">
        <v>2</v>
      </c>
      <c r="H85" s="1562">
        <f t="shared" si="9"/>
        <v>8.3333333333333329E-2</v>
      </c>
      <c r="I85" s="1563">
        <f t="shared" si="10"/>
        <v>44249.520833333307</v>
      </c>
      <c r="J85" s="1564">
        <f t="shared" si="11"/>
        <v>33.520833333333343</v>
      </c>
      <c r="K85" s="1569"/>
      <c r="L85" s="1566">
        <f t="shared" si="13"/>
        <v>8.3333333333333329E-2</v>
      </c>
    </row>
    <row r="86" spans="1:12" ht="13.7" customHeight="1">
      <c r="A86" s="1556">
        <f t="shared" si="12"/>
        <v>81</v>
      </c>
      <c r="B86" s="1546" t="s">
        <v>35</v>
      </c>
      <c r="C86" s="1593" t="s">
        <v>1154</v>
      </c>
      <c r="D86" s="1594" t="s">
        <v>1146</v>
      </c>
      <c r="E86" s="1559"/>
      <c r="F86" s="1560">
        <f t="shared" si="8"/>
        <v>3150</v>
      </c>
      <c r="G86" s="1561">
        <v>34</v>
      </c>
      <c r="H86" s="1562">
        <f t="shared" si="9"/>
        <v>1.4166666666666667</v>
      </c>
      <c r="I86" s="1563">
        <f t="shared" si="10"/>
        <v>44250.937499999971</v>
      </c>
      <c r="J86" s="1564">
        <f t="shared" si="11"/>
        <v>34.937500000000007</v>
      </c>
      <c r="K86" s="1569"/>
      <c r="L86" s="1566">
        <f t="shared" si="13"/>
        <v>1.4166666666666667</v>
      </c>
    </row>
    <row r="87" spans="1:12" ht="13.7" customHeight="1">
      <c r="A87" s="1556">
        <f t="shared" si="12"/>
        <v>82</v>
      </c>
      <c r="B87" s="1546" t="s">
        <v>35</v>
      </c>
      <c r="C87" s="1593" t="s">
        <v>1155</v>
      </c>
      <c r="D87" s="1594" t="s">
        <v>1146</v>
      </c>
      <c r="E87" s="1559"/>
      <c r="F87" s="1560">
        <f t="shared" si="8"/>
        <v>3150</v>
      </c>
      <c r="G87" s="1561">
        <v>6</v>
      </c>
      <c r="H87" s="1562">
        <f t="shared" si="9"/>
        <v>0.25</v>
      </c>
      <c r="I87" s="1563">
        <f t="shared" si="10"/>
        <v>44251.187499999971</v>
      </c>
      <c r="J87" s="1564">
        <f t="shared" si="11"/>
        <v>35.187500000000007</v>
      </c>
      <c r="K87" s="1565"/>
      <c r="L87" s="1566">
        <f t="shared" si="13"/>
        <v>0.25</v>
      </c>
    </row>
    <row r="88" spans="1:12" ht="13.7" customHeight="1">
      <c r="A88" s="1556">
        <f t="shared" si="12"/>
        <v>83</v>
      </c>
      <c r="B88" s="1546" t="s">
        <v>35</v>
      </c>
      <c r="C88" s="1593" t="s">
        <v>1156</v>
      </c>
      <c r="D88" s="1594" t="s">
        <v>1146</v>
      </c>
      <c r="E88" s="1559"/>
      <c r="F88" s="1560">
        <f t="shared" si="8"/>
        <v>3150</v>
      </c>
      <c r="G88" s="1561">
        <v>48</v>
      </c>
      <c r="H88" s="1562">
        <f t="shared" si="9"/>
        <v>2</v>
      </c>
      <c r="I88" s="1563">
        <f t="shared" si="10"/>
        <v>44253.187499999971</v>
      </c>
      <c r="J88" s="1564">
        <f t="shared" si="11"/>
        <v>37.187500000000007</v>
      </c>
      <c r="K88" s="1569"/>
      <c r="L88" s="1566">
        <f t="shared" si="13"/>
        <v>2</v>
      </c>
    </row>
    <row r="89" spans="1:12" ht="13.7" customHeight="1">
      <c r="A89" s="1556">
        <f t="shared" si="12"/>
        <v>84</v>
      </c>
      <c r="B89" s="1546" t="s">
        <v>35</v>
      </c>
      <c r="C89" s="1593" t="s">
        <v>1157</v>
      </c>
      <c r="D89" s="1594" t="s">
        <v>1146</v>
      </c>
      <c r="E89" s="1559"/>
      <c r="F89" s="1560">
        <f t="shared" si="8"/>
        <v>3150</v>
      </c>
      <c r="G89" s="1561">
        <v>24</v>
      </c>
      <c r="H89" s="1562">
        <f t="shared" si="9"/>
        <v>1</v>
      </c>
      <c r="I89" s="1563">
        <f t="shared" si="10"/>
        <v>44254.187499999971</v>
      </c>
      <c r="J89" s="1564">
        <f t="shared" si="11"/>
        <v>38.187500000000007</v>
      </c>
      <c r="K89" s="1565"/>
      <c r="L89" s="1566">
        <f t="shared" si="13"/>
        <v>1</v>
      </c>
    </row>
    <row r="90" spans="1:12" ht="13.7" customHeight="1">
      <c r="A90" s="1556">
        <f t="shared" si="12"/>
        <v>85</v>
      </c>
      <c r="B90" s="1546" t="s">
        <v>35</v>
      </c>
      <c r="C90" s="1593" t="s">
        <v>1143</v>
      </c>
      <c r="D90" s="1594" t="s">
        <v>1146</v>
      </c>
      <c r="E90" s="1559"/>
      <c r="F90" s="1560">
        <f t="shared" si="8"/>
        <v>3150</v>
      </c>
      <c r="G90" s="1561">
        <v>2</v>
      </c>
      <c r="H90" s="1562">
        <f t="shared" si="9"/>
        <v>8.3333333333333329E-2</v>
      </c>
      <c r="I90" s="1563">
        <f t="shared" si="10"/>
        <v>44254.270833333307</v>
      </c>
      <c r="J90" s="1564">
        <f t="shared" si="11"/>
        <v>38.270833333333343</v>
      </c>
      <c r="K90" s="1569"/>
      <c r="L90" s="1566">
        <f t="shared" si="13"/>
        <v>8.3333333333333329E-2</v>
      </c>
    </row>
    <row r="91" spans="1:12" ht="13.7" customHeight="1">
      <c r="A91" s="1556">
        <f t="shared" si="12"/>
        <v>86</v>
      </c>
      <c r="B91" s="1546" t="s">
        <v>35</v>
      </c>
      <c r="C91" s="1593" t="s">
        <v>1120</v>
      </c>
      <c r="D91" s="1594" t="s">
        <v>1146</v>
      </c>
      <c r="E91" s="1559"/>
      <c r="F91" s="1560">
        <f t="shared" si="8"/>
        <v>3150</v>
      </c>
      <c r="G91" s="1561">
        <v>7</v>
      </c>
      <c r="H91" s="1562">
        <f t="shared" si="9"/>
        <v>0.29166666666666669</v>
      </c>
      <c r="I91" s="1563">
        <f t="shared" si="10"/>
        <v>44254.562499999971</v>
      </c>
      <c r="J91" s="1564">
        <f t="shared" si="11"/>
        <v>38.562500000000007</v>
      </c>
      <c r="K91" s="1602">
        <f>H91</f>
        <v>0.29166666666666669</v>
      </c>
      <c r="L91" s="1566"/>
    </row>
    <row r="92" spans="1:12" ht="13.7" customHeight="1">
      <c r="A92" s="1556">
        <f t="shared" si="12"/>
        <v>87</v>
      </c>
      <c r="B92" s="1546" t="s">
        <v>35</v>
      </c>
      <c r="C92" s="1593" t="s">
        <v>1130</v>
      </c>
      <c r="D92" s="1594" t="s">
        <v>1146</v>
      </c>
      <c r="E92" s="1559"/>
      <c r="F92" s="1560">
        <f t="shared" si="8"/>
        <v>3150</v>
      </c>
      <c r="G92" s="1561">
        <v>13</v>
      </c>
      <c r="H92" s="1562">
        <f t="shared" si="9"/>
        <v>0.54166666666666663</v>
      </c>
      <c r="I92" s="1563">
        <f t="shared" si="10"/>
        <v>44255.104166666635</v>
      </c>
      <c r="J92" s="1564">
        <f t="shared" si="11"/>
        <v>39.104166666666671</v>
      </c>
      <c r="K92" s="1602">
        <f t="shared" ref="K92:K126" si="14">H92</f>
        <v>0.54166666666666663</v>
      </c>
      <c r="L92" s="1566"/>
    </row>
    <row r="93" spans="1:12" ht="13.7" customHeight="1">
      <c r="A93" s="1556">
        <f t="shared" si="12"/>
        <v>88</v>
      </c>
      <c r="B93" s="1546" t="s">
        <v>35</v>
      </c>
      <c r="C93" s="1593" t="s">
        <v>1144</v>
      </c>
      <c r="D93" s="1594" t="s">
        <v>1146</v>
      </c>
      <c r="E93" s="1559"/>
      <c r="F93" s="1560">
        <f t="shared" si="8"/>
        <v>3150</v>
      </c>
      <c r="G93" s="1561">
        <v>1</v>
      </c>
      <c r="H93" s="1562">
        <f t="shared" si="9"/>
        <v>4.1666666666666664E-2</v>
      </c>
      <c r="I93" s="1563">
        <f t="shared" si="10"/>
        <v>44255.145833333299</v>
      </c>
      <c r="J93" s="1564">
        <f t="shared" si="11"/>
        <v>39.145833333333336</v>
      </c>
      <c r="K93" s="1602">
        <f t="shared" si="14"/>
        <v>4.1666666666666664E-2</v>
      </c>
      <c r="L93" s="1566"/>
    </row>
    <row r="94" spans="1:12" ht="13.7" customHeight="1">
      <c r="A94" s="1574">
        <f t="shared" si="12"/>
        <v>89</v>
      </c>
      <c r="B94" s="1575" t="s">
        <v>35</v>
      </c>
      <c r="C94" s="1596" t="s">
        <v>1145</v>
      </c>
      <c r="D94" s="1603" t="s">
        <v>1146</v>
      </c>
      <c r="E94" s="1578"/>
      <c r="F94" s="1579">
        <f t="shared" si="8"/>
        <v>3150</v>
      </c>
      <c r="G94" s="1580">
        <v>4</v>
      </c>
      <c r="H94" s="1581">
        <f t="shared" si="9"/>
        <v>0.16666666666666666</v>
      </c>
      <c r="I94" s="1582">
        <f t="shared" si="10"/>
        <v>44255.312499999964</v>
      </c>
      <c r="J94" s="1583">
        <f t="shared" si="11"/>
        <v>39.3125</v>
      </c>
      <c r="K94" s="1604">
        <f t="shared" si="14"/>
        <v>0.16666666666666666</v>
      </c>
      <c r="L94" s="1585"/>
    </row>
    <row r="95" spans="1:12" ht="13.7" customHeight="1">
      <c r="A95" s="1545">
        <f t="shared" si="12"/>
        <v>90</v>
      </c>
      <c r="B95" s="1546" t="s">
        <v>35</v>
      </c>
      <c r="C95" s="1598" t="str">
        <f>CONCATENATE("Бурение в интервале ",F94," - ",F95," м")</f>
        <v>Бурение в интервале 3150 - 3450 м</v>
      </c>
      <c r="D95" s="1599" t="s">
        <v>1158</v>
      </c>
      <c r="E95" s="1588">
        <v>300</v>
      </c>
      <c r="F95" s="1549">
        <f t="shared" si="8"/>
        <v>3450</v>
      </c>
      <c r="G95" s="1605">
        <v>50</v>
      </c>
      <c r="H95" s="1551">
        <f t="shared" si="9"/>
        <v>2.0833333333333335</v>
      </c>
      <c r="I95" s="1552">
        <f t="shared" si="10"/>
        <v>44257.395833333299</v>
      </c>
      <c r="J95" s="1553">
        <f t="shared" si="11"/>
        <v>41.395833333333336</v>
      </c>
      <c r="K95" s="1606">
        <f t="shared" si="14"/>
        <v>2.0833333333333335</v>
      </c>
      <c r="L95" s="1555"/>
    </row>
    <row r="96" spans="1:12" ht="13.7" customHeight="1">
      <c r="A96" s="1545">
        <f t="shared" si="12"/>
        <v>91</v>
      </c>
      <c r="B96" s="1546" t="s">
        <v>35</v>
      </c>
      <c r="C96" s="1595" t="s">
        <v>1148</v>
      </c>
      <c r="D96" s="1571" t="s">
        <v>1158</v>
      </c>
      <c r="E96" s="1559"/>
      <c r="F96" s="1549">
        <f t="shared" si="8"/>
        <v>3450</v>
      </c>
      <c r="G96" s="1607">
        <v>6</v>
      </c>
      <c r="H96" s="1562">
        <f t="shared" si="9"/>
        <v>0.25</v>
      </c>
      <c r="I96" s="1563">
        <f t="shared" si="10"/>
        <v>44257.645833333299</v>
      </c>
      <c r="J96" s="1564">
        <f t="shared" si="11"/>
        <v>41.645833333333336</v>
      </c>
      <c r="K96" s="1602">
        <f t="shared" si="14"/>
        <v>0.25</v>
      </c>
      <c r="L96" s="1566"/>
    </row>
    <row r="97" spans="1:12" ht="13.7" customHeight="1">
      <c r="A97" s="1545">
        <f t="shared" si="12"/>
        <v>92</v>
      </c>
      <c r="B97" s="1546" t="s">
        <v>35</v>
      </c>
      <c r="C97" s="1591" t="str">
        <f>CONCATENATE("Бурение в интервале ",F96," - ",F97," м")</f>
        <v>Бурение в интервале 3450 - 3500 м</v>
      </c>
      <c r="D97" s="1571" t="s">
        <v>1158</v>
      </c>
      <c r="E97" s="1559">
        <v>50</v>
      </c>
      <c r="F97" s="1549">
        <f t="shared" si="8"/>
        <v>3500</v>
      </c>
      <c r="G97" s="1607">
        <v>8</v>
      </c>
      <c r="H97" s="1562">
        <f t="shared" si="9"/>
        <v>0.33333333333333331</v>
      </c>
      <c r="I97" s="1563">
        <f t="shared" si="10"/>
        <v>44257.979166666635</v>
      </c>
      <c r="J97" s="1564">
        <f t="shared" si="11"/>
        <v>41.979166666666671</v>
      </c>
      <c r="K97" s="1602">
        <f t="shared" si="14"/>
        <v>0.33333333333333331</v>
      </c>
      <c r="L97" s="1566"/>
    </row>
    <row r="98" spans="1:12" ht="13.7" customHeight="1">
      <c r="A98" s="1545">
        <f t="shared" si="12"/>
        <v>93</v>
      </c>
      <c r="B98" s="1546" t="s">
        <v>35</v>
      </c>
      <c r="C98" s="1595" t="s">
        <v>1159</v>
      </c>
      <c r="D98" s="1571" t="s">
        <v>1158</v>
      </c>
      <c r="E98" s="1559"/>
      <c r="F98" s="1549">
        <f t="shared" si="8"/>
        <v>3500</v>
      </c>
      <c r="G98" s="1607">
        <v>3</v>
      </c>
      <c r="H98" s="1562">
        <f t="shared" si="9"/>
        <v>0.125</v>
      </c>
      <c r="I98" s="1563">
        <f t="shared" si="10"/>
        <v>44258.104166666635</v>
      </c>
      <c r="J98" s="1564">
        <f t="shared" si="11"/>
        <v>42.104166666666671</v>
      </c>
      <c r="K98" s="1602">
        <f t="shared" si="14"/>
        <v>0.125</v>
      </c>
      <c r="L98" s="1566"/>
    </row>
    <row r="99" spans="1:12" ht="13.7" customHeight="1">
      <c r="A99" s="1545">
        <f t="shared" si="12"/>
        <v>94</v>
      </c>
      <c r="B99" s="1546" t="s">
        <v>35</v>
      </c>
      <c r="C99" s="1593" t="s">
        <v>1122</v>
      </c>
      <c r="D99" s="1571" t="s">
        <v>1158</v>
      </c>
      <c r="E99" s="1559"/>
      <c r="F99" s="1549">
        <f t="shared" si="8"/>
        <v>3500</v>
      </c>
      <c r="G99" s="1561">
        <v>14</v>
      </c>
      <c r="H99" s="1562">
        <f t="shared" si="9"/>
        <v>0.58333333333333337</v>
      </c>
      <c r="I99" s="1563">
        <f t="shared" si="10"/>
        <v>44258.687499999971</v>
      </c>
      <c r="J99" s="1564">
        <f t="shared" si="11"/>
        <v>42.687500000000007</v>
      </c>
      <c r="K99" s="1602">
        <f t="shared" si="14"/>
        <v>0.58333333333333337</v>
      </c>
      <c r="L99" s="1566"/>
    </row>
    <row r="100" spans="1:12" ht="13.7" customHeight="1">
      <c r="A100" s="1556">
        <f t="shared" si="12"/>
        <v>95</v>
      </c>
      <c r="B100" s="1546" t="s">
        <v>35</v>
      </c>
      <c r="C100" s="1557" t="s">
        <v>1123</v>
      </c>
      <c r="D100" s="1571" t="s">
        <v>1158</v>
      </c>
      <c r="E100" s="1559"/>
      <c r="F100" s="1560">
        <f t="shared" si="8"/>
        <v>3500</v>
      </c>
      <c r="G100" s="1568">
        <v>7</v>
      </c>
      <c r="H100" s="1562">
        <f t="shared" si="9"/>
        <v>0.29166666666666669</v>
      </c>
      <c r="I100" s="1563">
        <f t="shared" si="10"/>
        <v>44258.979166666635</v>
      </c>
      <c r="J100" s="1564">
        <f t="shared" si="11"/>
        <v>42.979166666666671</v>
      </c>
      <c r="K100" s="1602">
        <f t="shared" si="14"/>
        <v>0.29166666666666669</v>
      </c>
      <c r="L100" s="1566"/>
    </row>
    <row r="101" spans="1:12" ht="13.7" customHeight="1">
      <c r="A101" s="1556">
        <f t="shared" si="12"/>
        <v>96</v>
      </c>
      <c r="B101" s="1546" t="s">
        <v>35</v>
      </c>
      <c r="C101" s="1590" t="s">
        <v>1160</v>
      </c>
      <c r="D101" s="1571" t="s">
        <v>1158</v>
      </c>
      <c r="E101" s="1559"/>
      <c r="F101" s="1560">
        <f t="shared" si="8"/>
        <v>3500</v>
      </c>
      <c r="G101" s="1561">
        <v>7</v>
      </c>
      <c r="H101" s="1562">
        <f t="shared" si="9"/>
        <v>0.29166666666666669</v>
      </c>
      <c r="I101" s="1563">
        <f t="shared" si="10"/>
        <v>44259.270833333299</v>
      </c>
      <c r="J101" s="1564">
        <f t="shared" si="11"/>
        <v>43.270833333333336</v>
      </c>
      <c r="K101" s="1602">
        <f t="shared" si="14"/>
        <v>0.29166666666666669</v>
      </c>
      <c r="L101" s="1566"/>
    </row>
    <row r="102" spans="1:12" ht="13.7" customHeight="1">
      <c r="A102" s="1556">
        <f t="shared" si="12"/>
        <v>97</v>
      </c>
      <c r="B102" s="1546" t="s">
        <v>35</v>
      </c>
      <c r="C102" s="1590" t="s">
        <v>1161</v>
      </c>
      <c r="D102" s="1571" t="s">
        <v>1158</v>
      </c>
      <c r="E102" s="1559"/>
      <c r="F102" s="1560">
        <f t="shared" si="8"/>
        <v>3500</v>
      </c>
      <c r="G102" s="1561">
        <v>14</v>
      </c>
      <c r="H102" s="1562">
        <f t="shared" si="9"/>
        <v>0.58333333333333337</v>
      </c>
      <c r="I102" s="1563">
        <f t="shared" si="10"/>
        <v>44259.854166666635</v>
      </c>
      <c r="J102" s="1564">
        <f t="shared" si="11"/>
        <v>43.854166666666671</v>
      </c>
      <c r="K102" s="1602">
        <f t="shared" si="14"/>
        <v>0.58333333333333337</v>
      </c>
      <c r="L102" s="1566"/>
    </row>
    <row r="103" spans="1:12" ht="13.7" customHeight="1">
      <c r="A103" s="1556">
        <f t="shared" si="12"/>
        <v>98</v>
      </c>
      <c r="B103" s="1546" t="s">
        <v>35</v>
      </c>
      <c r="C103" s="1598" t="str">
        <f>CONCATENATE("Бурение в интервале ",F102," - ",F103," м")</f>
        <v>Бурение в интервале 3500 - 3600 м</v>
      </c>
      <c r="D103" s="1571" t="s">
        <v>1158</v>
      </c>
      <c r="E103" s="1559">
        <v>100</v>
      </c>
      <c r="F103" s="1560">
        <f t="shared" si="8"/>
        <v>3600</v>
      </c>
      <c r="G103" s="1561">
        <v>50</v>
      </c>
      <c r="H103" s="1562">
        <f t="shared" si="9"/>
        <v>2.0833333333333335</v>
      </c>
      <c r="I103" s="1563">
        <f t="shared" si="10"/>
        <v>44261.937499999971</v>
      </c>
      <c r="J103" s="1564">
        <f t="shared" si="11"/>
        <v>45.937500000000007</v>
      </c>
      <c r="K103" s="1602">
        <f t="shared" si="14"/>
        <v>2.0833333333333335</v>
      </c>
      <c r="L103" s="1566"/>
    </row>
    <row r="104" spans="1:12" ht="13.7" customHeight="1">
      <c r="A104" s="1556">
        <f t="shared" si="12"/>
        <v>99</v>
      </c>
      <c r="B104" s="1546" t="s">
        <v>35</v>
      </c>
      <c r="C104" s="1595" t="s">
        <v>1159</v>
      </c>
      <c r="D104" s="1571" t="s">
        <v>1158</v>
      </c>
      <c r="E104" s="1559"/>
      <c r="F104" s="1560">
        <f t="shared" si="8"/>
        <v>3600</v>
      </c>
      <c r="G104" s="1561">
        <v>3</v>
      </c>
      <c r="H104" s="1562">
        <f t="shared" si="9"/>
        <v>0.125</v>
      </c>
      <c r="I104" s="1563">
        <f t="shared" si="10"/>
        <v>44262.062499999971</v>
      </c>
      <c r="J104" s="1564">
        <f t="shared" si="11"/>
        <v>46.062500000000007</v>
      </c>
      <c r="K104" s="1602">
        <f t="shared" si="14"/>
        <v>0.125</v>
      </c>
      <c r="L104" s="1566"/>
    </row>
    <row r="105" spans="1:12" ht="13.7" customHeight="1">
      <c r="A105" s="1556">
        <f t="shared" si="12"/>
        <v>100</v>
      </c>
      <c r="B105" s="1546" t="s">
        <v>35</v>
      </c>
      <c r="C105" s="1593" t="s">
        <v>1122</v>
      </c>
      <c r="D105" s="1571" t="s">
        <v>1158</v>
      </c>
      <c r="E105" s="1559"/>
      <c r="F105" s="1560">
        <f t="shared" si="8"/>
        <v>3600</v>
      </c>
      <c r="G105" s="1561">
        <v>14</v>
      </c>
      <c r="H105" s="1562">
        <f t="shared" si="9"/>
        <v>0.58333333333333337</v>
      </c>
      <c r="I105" s="1563">
        <f t="shared" si="10"/>
        <v>44262.645833333307</v>
      </c>
      <c r="J105" s="1564">
        <f t="shared" si="11"/>
        <v>46.645833333333343</v>
      </c>
      <c r="K105" s="1602">
        <f t="shared" si="14"/>
        <v>0.58333333333333337</v>
      </c>
      <c r="L105" s="1573"/>
    </row>
    <row r="106" spans="1:12" ht="13.7" customHeight="1">
      <c r="A106" s="1556">
        <f t="shared" si="12"/>
        <v>101</v>
      </c>
      <c r="B106" s="1546" t="s">
        <v>35</v>
      </c>
      <c r="C106" s="1557" t="s">
        <v>1123</v>
      </c>
      <c r="D106" s="1571" t="s">
        <v>1158</v>
      </c>
      <c r="E106" s="1559"/>
      <c r="F106" s="1560">
        <f t="shared" si="8"/>
        <v>3600</v>
      </c>
      <c r="G106" s="1568">
        <v>7</v>
      </c>
      <c r="H106" s="1562">
        <f t="shared" si="9"/>
        <v>0.29166666666666669</v>
      </c>
      <c r="I106" s="1563">
        <f t="shared" si="10"/>
        <v>44262.937499999971</v>
      </c>
      <c r="J106" s="1564">
        <f t="shared" si="11"/>
        <v>46.937500000000007</v>
      </c>
      <c r="K106" s="1602">
        <f t="shared" si="14"/>
        <v>0.29166666666666669</v>
      </c>
      <c r="L106" s="1566"/>
    </row>
    <row r="107" spans="1:12" ht="13.7" customHeight="1">
      <c r="A107" s="1556">
        <f t="shared" si="12"/>
        <v>102</v>
      </c>
      <c r="B107" s="1546" t="s">
        <v>35</v>
      </c>
      <c r="C107" s="1590" t="s">
        <v>1160</v>
      </c>
      <c r="D107" s="1571" t="s">
        <v>1158</v>
      </c>
      <c r="E107" s="1559"/>
      <c r="F107" s="1560">
        <f t="shared" si="8"/>
        <v>3600</v>
      </c>
      <c r="G107" s="1561">
        <v>7</v>
      </c>
      <c r="H107" s="1562">
        <f t="shared" si="9"/>
        <v>0.29166666666666669</v>
      </c>
      <c r="I107" s="1563">
        <f t="shared" si="10"/>
        <v>44263.229166666635</v>
      </c>
      <c r="J107" s="1564">
        <f t="shared" si="11"/>
        <v>47.229166666666671</v>
      </c>
      <c r="K107" s="1602">
        <f t="shared" si="14"/>
        <v>0.29166666666666669</v>
      </c>
      <c r="L107" s="1573"/>
    </row>
    <row r="108" spans="1:12" ht="13.7" customHeight="1">
      <c r="A108" s="1556">
        <f t="shared" si="12"/>
        <v>103</v>
      </c>
      <c r="B108" s="1546" t="s">
        <v>35</v>
      </c>
      <c r="C108" s="1590" t="s">
        <v>1161</v>
      </c>
      <c r="D108" s="1571" t="s">
        <v>1158</v>
      </c>
      <c r="E108" s="1559"/>
      <c r="F108" s="1560">
        <f t="shared" si="8"/>
        <v>3600</v>
      </c>
      <c r="G108" s="1561">
        <v>14</v>
      </c>
      <c r="H108" s="1562">
        <f t="shared" si="9"/>
        <v>0.58333333333333337</v>
      </c>
      <c r="I108" s="1563">
        <f t="shared" si="10"/>
        <v>44263.812499999971</v>
      </c>
      <c r="J108" s="1564">
        <f t="shared" si="11"/>
        <v>47.812500000000007</v>
      </c>
      <c r="K108" s="1602">
        <f t="shared" si="14"/>
        <v>0.58333333333333337</v>
      </c>
      <c r="L108" s="1566"/>
    </row>
    <row r="109" spans="1:12" ht="13.7" customHeight="1">
      <c r="A109" s="1556">
        <f t="shared" si="12"/>
        <v>104</v>
      </c>
      <c r="B109" s="1546" t="s">
        <v>35</v>
      </c>
      <c r="C109" s="1598" t="str">
        <f>CONCATENATE("Бурение в интервале ",F108," - ",F109," м")</f>
        <v>Бурение в интервале 3600 - 3700 м</v>
      </c>
      <c r="D109" s="1571" t="s">
        <v>1158</v>
      </c>
      <c r="E109" s="1559">
        <v>100</v>
      </c>
      <c r="F109" s="1560">
        <f t="shared" si="8"/>
        <v>3700</v>
      </c>
      <c r="G109" s="1561">
        <v>50</v>
      </c>
      <c r="H109" s="1562">
        <f t="shared" si="9"/>
        <v>2.0833333333333335</v>
      </c>
      <c r="I109" s="1563">
        <f t="shared" si="10"/>
        <v>44265.895833333307</v>
      </c>
      <c r="J109" s="1564">
        <f t="shared" si="11"/>
        <v>49.895833333333343</v>
      </c>
      <c r="K109" s="1602">
        <f t="shared" si="14"/>
        <v>2.0833333333333335</v>
      </c>
      <c r="L109" s="1566"/>
    </row>
    <row r="110" spans="1:12" ht="13.7" customHeight="1">
      <c r="A110" s="1556">
        <f t="shared" si="12"/>
        <v>105</v>
      </c>
      <c r="B110" s="1546" t="s">
        <v>35</v>
      </c>
      <c r="C110" s="1595" t="s">
        <v>1159</v>
      </c>
      <c r="D110" s="1571" t="s">
        <v>1158</v>
      </c>
      <c r="E110" s="1559"/>
      <c r="F110" s="1560">
        <f t="shared" si="8"/>
        <v>3700</v>
      </c>
      <c r="G110" s="1561">
        <v>3</v>
      </c>
      <c r="H110" s="1562">
        <f t="shared" si="9"/>
        <v>0.125</v>
      </c>
      <c r="I110" s="1563">
        <f t="shared" si="10"/>
        <v>44266.020833333307</v>
      </c>
      <c r="J110" s="1564">
        <f t="shared" si="11"/>
        <v>50.020833333333343</v>
      </c>
      <c r="K110" s="1602">
        <f t="shared" si="14"/>
        <v>0.125</v>
      </c>
      <c r="L110" s="1566"/>
    </row>
    <row r="111" spans="1:12" ht="13.7" customHeight="1">
      <c r="A111" s="1556">
        <f t="shared" si="12"/>
        <v>106</v>
      </c>
      <c r="B111" s="1546" t="s">
        <v>35</v>
      </c>
      <c r="C111" s="1593" t="s">
        <v>1122</v>
      </c>
      <c r="D111" s="1571" t="s">
        <v>1158</v>
      </c>
      <c r="E111" s="1559"/>
      <c r="F111" s="1560">
        <f t="shared" si="8"/>
        <v>3700</v>
      </c>
      <c r="G111" s="1561">
        <v>14</v>
      </c>
      <c r="H111" s="1562">
        <f t="shared" si="9"/>
        <v>0.58333333333333337</v>
      </c>
      <c r="I111" s="1563">
        <f t="shared" si="10"/>
        <v>44266.604166666642</v>
      </c>
      <c r="J111" s="1564">
        <f t="shared" si="11"/>
        <v>50.604166666666679</v>
      </c>
      <c r="K111" s="1602">
        <f t="shared" si="14"/>
        <v>0.58333333333333337</v>
      </c>
      <c r="L111" s="1566"/>
    </row>
    <row r="112" spans="1:12" ht="13.7" customHeight="1">
      <c r="A112" s="1556">
        <f t="shared" si="12"/>
        <v>107</v>
      </c>
      <c r="B112" s="1546" t="s">
        <v>35</v>
      </c>
      <c r="C112" s="1557" t="s">
        <v>1123</v>
      </c>
      <c r="D112" s="1571" t="s">
        <v>1158</v>
      </c>
      <c r="E112" s="1559"/>
      <c r="F112" s="1560">
        <f t="shared" si="8"/>
        <v>3700</v>
      </c>
      <c r="G112" s="1568">
        <v>7</v>
      </c>
      <c r="H112" s="1562">
        <f t="shared" si="9"/>
        <v>0.29166666666666669</v>
      </c>
      <c r="I112" s="1563">
        <f t="shared" si="10"/>
        <v>44266.895833333307</v>
      </c>
      <c r="J112" s="1564">
        <f t="shared" si="11"/>
        <v>50.895833333333343</v>
      </c>
      <c r="K112" s="1602">
        <f t="shared" si="14"/>
        <v>0.29166666666666669</v>
      </c>
      <c r="L112" s="1566"/>
    </row>
    <row r="113" spans="1:12" ht="13.7" customHeight="1">
      <c r="A113" s="1556">
        <f t="shared" si="12"/>
        <v>108</v>
      </c>
      <c r="B113" s="1546" t="s">
        <v>35</v>
      </c>
      <c r="C113" s="1590" t="s">
        <v>1160</v>
      </c>
      <c r="D113" s="1571" t="s">
        <v>1158</v>
      </c>
      <c r="E113" s="1559"/>
      <c r="F113" s="1560">
        <f t="shared" si="8"/>
        <v>3700</v>
      </c>
      <c r="G113" s="1561">
        <v>7</v>
      </c>
      <c r="H113" s="1562">
        <f t="shared" si="9"/>
        <v>0.29166666666666669</v>
      </c>
      <c r="I113" s="1563">
        <f t="shared" si="10"/>
        <v>44267.187499999971</v>
      </c>
      <c r="J113" s="1564">
        <f t="shared" si="11"/>
        <v>51.187500000000007</v>
      </c>
      <c r="K113" s="1602">
        <f t="shared" si="14"/>
        <v>0.29166666666666669</v>
      </c>
      <c r="L113" s="1566"/>
    </row>
    <row r="114" spans="1:12" ht="13.7" customHeight="1">
      <c r="A114" s="1556">
        <f t="shared" si="12"/>
        <v>109</v>
      </c>
      <c r="B114" s="1546" t="s">
        <v>35</v>
      </c>
      <c r="C114" s="1590" t="s">
        <v>1161</v>
      </c>
      <c r="D114" s="1571" t="s">
        <v>1158</v>
      </c>
      <c r="E114" s="1559"/>
      <c r="F114" s="1560">
        <f t="shared" si="8"/>
        <v>3700</v>
      </c>
      <c r="G114" s="1608">
        <v>14</v>
      </c>
      <c r="H114" s="1562">
        <f t="shared" si="9"/>
        <v>0.58333333333333337</v>
      </c>
      <c r="I114" s="1563">
        <f t="shared" si="10"/>
        <v>44267.770833333307</v>
      </c>
      <c r="J114" s="1564">
        <f t="shared" si="11"/>
        <v>51.770833333333343</v>
      </c>
      <c r="K114" s="1602">
        <f t="shared" si="14"/>
        <v>0.58333333333333337</v>
      </c>
      <c r="L114" s="1566"/>
    </row>
    <row r="115" spans="1:12" ht="13.7" customHeight="1">
      <c r="A115" s="1556">
        <f t="shared" si="12"/>
        <v>110</v>
      </c>
      <c r="B115" s="1546" t="s">
        <v>35</v>
      </c>
      <c r="C115" s="1598" t="str">
        <f>CONCATENATE("Бурение в интервале ",F114," - ",F115," м")</f>
        <v>Бурение в интервале 3700 - 3800 м</v>
      </c>
      <c r="D115" s="1571" t="s">
        <v>1158</v>
      </c>
      <c r="E115" s="1559">
        <v>100</v>
      </c>
      <c r="F115" s="1560">
        <f t="shared" si="8"/>
        <v>3800</v>
      </c>
      <c r="G115" s="1608">
        <v>50</v>
      </c>
      <c r="H115" s="1562">
        <f t="shared" si="9"/>
        <v>2.0833333333333335</v>
      </c>
      <c r="I115" s="1563">
        <f t="shared" si="10"/>
        <v>44269.854166666642</v>
      </c>
      <c r="J115" s="1564">
        <f t="shared" si="11"/>
        <v>53.854166666666679</v>
      </c>
      <c r="K115" s="1602">
        <f t="shared" si="14"/>
        <v>2.0833333333333335</v>
      </c>
      <c r="L115" s="1566"/>
    </row>
    <row r="116" spans="1:12" ht="13.7" customHeight="1">
      <c r="A116" s="1556">
        <f t="shared" si="12"/>
        <v>111</v>
      </c>
      <c r="B116" s="1546" t="s">
        <v>35</v>
      </c>
      <c r="C116" s="1595" t="s">
        <v>1159</v>
      </c>
      <c r="D116" s="1571" t="s">
        <v>1158</v>
      </c>
      <c r="E116" s="1559"/>
      <c r="F116" s="1560">
        <f t="shared" si="8"/>
        <v>3800</v>
      </c>
      <c r="G116" s="1608">
        <v>3</v>
      </c>
      <c r="H116" s="1562">
        <f t="shared" si="9"/>
        <v>0.125</v>
      </c>
      <c r="I116" s="1563">
        <f t="shared" si="10"/>
        <v>44269.979166666642</v>
      </c>
      <c r="J116" s="1564">
        <f t="shared" si="11"/>
        <v>53.979166666666679</v>
      </c>
      <c r="K116" s="1602">
        <f t="shared" si="14"/>
        <v>0.125</v>
      </c>
      <c r="L116" s="1566"/>
    </row>
    <row r="117" spans="1:12" ht="13.7" customHeight="1">
      <c r="A117" s="1556">
        <f t="shared" si="12"/>
        <v>112</v>
      </c>
      <c r="B117" s="1546" t="s">
        <v>35</v>
      </c>
      <c r="C117" s="1593" t="s">
        <v>1122</v>
      </c>
      <c r="D117" s="1571" t="s">
        <v>1158</v>
      </c>
      <c r="E117" s="1559"/>
      <c r="F117" s="1560">
        <f t="shared" si="8"/>
        <v>3800</v>
      </c>
      <c r="G117" s="1561">
        <v>14</v>
      </c>
      <c r="H117" s="1562">
        <f t="shared" si="9"/>
        <v>0.58333333333333337</v>
      </c>
      <c r="I117" s="1563">
        <f t="shared" si="10"/>
        <v>44270.562499999978</v>
      </c>
      <c r="J117" s="1564">
        <f t="shared" si="11"/>
        <v>54.562500000000014</v>
      </c>
      <c r="K117" s="1602">
        <f t="shared" si="14"/>
        <v>0.58333333333333337</v>
      </c>
      <c r="L117" s="1566"/>
    </row>
    <row r="118" spans="1:12" ht="13.7" customHeight="1">
      <c r="A118" s="1556">
        <f t="shared" si="12"/>
        <v>113</v>
      </c>
      <c r="B118" s="1546" t="s">
        <v>35</v>
      </c>
      <c r="C118" s="1609" t="s">
        <v>1123</v>
      </c>
      <c r="D118" s="1610" t="s">
        <v>1158</v>
      </c>
      <c r="E118" s="1611"/>
      <c r="F118" s="1612">
        <f t="shared" si="8"/>
        <v>3800</v>
      </c>
      <c r="G118" s="1613">
        <v>7</v>
      </c>
      <c r="H118" s="1614">
        <f t="shared" si="9"/>
        <v>0.29166666666666669</v>
      </c>
      <c r="I118" s="1615">
        <f t="shared" si="10"/>
        <v>44270.854166666642</v>
      </c>
      <c r="J118" s="1616">
        <f t="shared" si="11"/>
        <v>54.854166666666679</v>
      </c>
      <c r="K118" s="1602">
        <f t="shared" si="14"/>
        <v>0.29166666666666669</v>
      </c>
      <c r="L118" s="1573"/>
    </row>
    <row r="119" spans="1:12" ht="13.7" customHeight="1">
      <c r="A119" s="1556">
        <f t="shared" si="12"/>
        <v>114</v>
      </c>
      <c r="B119" s="1546" t="s">
        <v>35</v>
      </c>
      <c r="C119" s="1590" t="s">
        <v>1160</v>
      </c>
      <c r="D119" s="1571" t="s">
        <v>1158</v>
      </c>
      <c r="E119" s="1559"/>
      <c r="F119" s="1560">
        <f t="shared" si="8"/>
        <v>3800</v>
      </c>
      <c r="G119" s="1561">
        <v>7</v>
      </c>
      <c r="H119" s="1562">
        <f t="shared" si="9"/>
        <v>0.29166666666666669</v>
      </c>
      <c r="I119" s="1563">
        <f t="shared" si="10"/>
        <v>44271.145833333307</v>
      </c>
      <c r="J119" s="1564">
        <f t="shared" si="11"/>
        <v>55.145833333333343</v>
      </c>
      <c r="K119" s="1602">
        <f t="shared" si="14"/>
        <v>0.29166666666666669</v>
      </c>
      <c r="L119" s="1566"/>
    </row>
    <row r="120" spans="1:12" ht="13.7" customHeight="1">
      <c r="A120" s="1556">
        <f t="shared" si="12"/>
        <v>115</v>
      </c>
      <c r="B120" s="1546" t="s">
        <v>35</v>
      </c>
      <c r="C120" s="1590" t="s">
        <v>1161</v>
      </c>
      <c r="D120" s="1571" t="s">
        <v>1158</v>
      </c>
      <c r="E120" s="1559"/>
      <c r="F120" s="1560">
        <f t="shared" si="8"/>
        <v>3800</v>
      </c>
      <c r="G120" s="1608">
        <v>14</v>
      </c>
      <c r="H120" s="1562">
        <f t="shared" si="9"/>
        <v>0.58333333333333337</v>
      </c>
      <c r="I120" s="1563">
        <f t="shared" si="10"/>
        <v>44271.729166666642</v>
      </c>
      <c r="J120" s="1564">
        <f t="shared" si="11"/>
        <v>55.729166666666679</v>
      </c>
      <c r="K120" s="1602">
        <f t="shared" si="14"/>
        <v>0.58333333333333337</v>
      </c>
      <c r="L120" s="1566"/>
    </row>
    <row r="121" spans="1:12" ht="13.7" customHeight="1">
      <c r="A121" s="1556">
        <f t="shared" si="12"/>
        <v>116</v>
      </c>
      <c r="B121" s="1546" t="s">
        <v>35</v>
      </c>
      <c r="C121" s="1598" t="str">
        <f>CONCATENATE("Бурение в интервале ",F120," - ",F121," м")</f>
        <v>Бурение в интервале 3800 - 4100 м</v>
      </c>
      <c r="D121" s="1571" t="s">
        <v>1158</v>
      </c>
      <c r="E121" s="1559">
        <v>300</v>
      </c>
      <c r="F121" s="1560">
        <f t="shared" si="8"/>
        <v>4100</v>
      </c>
      <c r="G121" s="1608">
        <v>75</v>
      </c>
      <c r="H121" s="1562">
        <f t="shared" si="9"/>
        <v>3.125</v>
      </c>
      <c r="I121" s="1563">
        <f t="shared" si="10"/>
        <v>44274.854166666642</v>
      </c>
      <c r="J121" s="1564">
        <f t="shared" si="11"/>
        <v>58.854166666666679</v>
      </c>
      <c r="K121" s="1602">
        <f t="shared" si="14"/>
        <v>3.125</v>
      </c>
      <c r="L121" s="1566"/>
    </row>
    <row r="122" spans="1:12" ht="13.7" customHeight="1">
      <c r="A122" s="1556">
        <f t="shared" si="12"/>
        <v>117</v>
      </c>
      <c r="B122" s="1694" t="s">
        <v>35</v>
      </c>
      <c r="C122" s="1595" t="s">
        <v>1148</v>
      </c>
      <c r="D122" s="1571" t="s">
        <v>1158</v>
      </c>
      <c r="E122" s="1559"/>
      <c r="F122" s="1559">
        <f t="shared" si="8"/>
        <v>4100</v>
      </c>
      <c r="G122" s="1607">
        <v>6</v>
      </c>
      <c r="H122" s="1562">
        <f t="shared" si="9"/>
        <v>0.25</v>
      </c>
      <c r="I122" s="1563">
        <f t="shared" si="10"/>
        <v>44275.104166666642</v>
      </c>
      <c r="J122" s="1564">
        <f t="shared" si="11"/>
        <v>59.104166666666679</v>
      </c>
      <c r="K122" s="1569">
        <f t="shared" si="14"/>
        <v>0.25</v>
      </c>
      <c r="L122" s="1566"/>
    </row>
    <row r="123" spans="1:12" ht="13.7" customHeight="1">
      <c r="A123" s="1556">
        <f t="shared" si="12"/>
        <v>118</v>
      </c>
      <c r="B123" s="1694" t="s">
        <v>35</v>
      </c>
      <c r="C123" s="1598" t="str">
        <f>CONCATENATE("Бурение в интервале ",F122," - ",F123," м")</f>
        <v>Бурение в интервале 4100 - 4400 м</v>
      </c>
      <c r="D123" s="1571" t="s">
        <v>1158</v>
      </c>
      <c r="E123" s="1559">
        <v>300</v>
      </c>
      <c r="F123" s="1559">
        <f t="shared" si="8"/>
        <v>4400</v>
      </c>
      <c r="G123" s="1607">
        <v>75</v>
      </c>
      <c r="H123" s="1562">
        <f t="shared" si="9"/>
        <v>3.125</v>
      </c>
      <c r="I123" s="1563">
        <f t="shared" si="10"/>
        <v>44278.229166666642</v>
      </c>
      <c r="J123" s="1564">
        <f t="shared" si="11"/>
        <v>62.229166666666679</v>
      </c>
      <c r="K123" s="1569">
        <f t="shared" si="14"/>
        <v>3.125</v>
      </c>
      <c r="L123" s="1566"/>
    </row>
    <row r="124" spans="1:12" ht="13.7" customHeight="1">
      <c r="A124" s="1556">
        <f t="shared" si="12"/>
        <v>119</v>
      </c>
      <c r="B124" s="1694" t="s">
        <v>35</v>
      </c>
      <c r="C124" s="1595" t="s">
        <v>1159</v>
      </c>
      <c r="D124" s="1571" t="s">
        <v>1158</v>
      </c>
      <c r="E124" s="1559"/>
      <c r="F124" s="1559">
        <f t="shared" si="8"/>
        <v>4400</v>
      </c>
      <c r="G124" s="1608">
        <v>5</v>
      </c>
      <c r="H124" s="1562">
        <f t="shared" si="9"/>
        <v>0.20833333333333334</v>
      </c>
      <c r="I124" s="1563">
        <f t="shared" si="10"/>
        <v>44278.437499999978</v>
      </c>
      <c r="J124" s="1564">
        <f t="shared" si="11"/>
        <v>62.437500000000014</v>
      </c>
      <c r="K124" s="1569">
        <f t="shared" si="14"/>
        <v>0.20833333333333334</v>
      </c>
      <c r="L124" s="1566"/>
    </row>
    <row r="125" spans="1:12" ht="13.7" customHeight="1">
      <c r="A125" s="1556">
        <f t="shared" si="12"/>
        <v>120</v>
      </c>
      <c r="B125" s="1546" t="s">
        <v>35</v>
      </c>
      <c r="C125" s="1593" t="s">
        <v>1122</v>
      </c>
      <c r="D125" s="1571" t="s">
        <v>1158</v>
      </c>
      <c r="E125" s="1559"/>
      <c r="F125" s="1559">
        <f t="shared" si="8"/>
        <v>4400</v>
      </c>
      <c r="G125" s="1561">
        <v>16</v>
      </c>
      <c r="H125" s="1562">
        <f t="shared" si="9"/>
        <v>0.66666666666666663</v>
      </c>
      <c r="I125" s="1563">
        <f t="shared" si="10"/>
        <v>44279.104166666642</v>
      </c>
      <c r="J125" s="1564">
        <f t="shared" si="11"/>
        <v>63.104166666666679</v>
      </c>
      <c r="K125" s="1602">
        <f t="shared" si="14"/>
        <v>0.66666666666666663</v>
      </c>
      <c r="L125" s="1566"/>
    </row>
    <row r="126" spans="1:12" ht="13.7" customHeight="1">
      <c r="A126" s="1556">
        <f t="shared" si="12"/>
        <v>121</v>
      </c>
      <c r="B126" s="1694" t="s">
        <v>35</v>
      </c>
      <c r="C126" s="1557" t="s">
        <v>1123</v>
      </c>
      <c r="D126" s="1571" t="s">
        <v>1158</v>
      </c>
      <c r="E126" s="1559"/>
      <c r="F126" s="1559">
        <f t="shared" si="8"/>
        <v>4400</v>
      </c>
      <c r="G126" s="1568">
        <v>7</v>
      </c>
      <c r="H126" s="1562">
        <f t="shared" si="9"/>
        <v>0.29166666666666669</v>
      </c>
      <c r="I126" s="1563">
        <f t="shared" si="10"/>
        <v>44279.395833333307</v>
      </c>
      <c r="J126" s="1564">
        <f t="shared" si="11"/>
        <v>63.395833333333343</v>
      </c>
      <c r="K126" s="1602">
        <f t="shared" si="14"/>
        <v>0.29166666666666669</v>
      </c>
      <c r="L126" s="1573"/>
    </row>
    <row r="127" spans="1:12" ht="13.7" customHeight="1">
      <c r="A127" s="1556">
        <f t="shared" si="12"/>
        <v>122</v>
      </c>
      <c r="B127" s="1694" t="s">
        <v>35</v>
      </c>
      <c r="C127" s="1586" t="s">
        <v>1160</v>
      </c>
      <c r="D127" s="1599" t="s">
        <v>1158</v>
      </c>
      <c r="E127" s="1588"/>
      <c r="F127" s="1559">
        <f t="shared" si="8"/>
        <v>4400</v>
      </c>
      <c r="G127" s="1618">
        <v>7</v>
      </c>
      <c r="H127" s="1551">
        <f t="shared" si="9"/>
        <v>0.29166666666666669</v>
      </c>
      <c r="I127" s="1563">
        <f t="shared" si="10"/>
        <v>44279.687499999971</v>
      </c>
      <c r="J127" s="1564">
        <f t="shared" si="11"/>
        <v>63.687500000000007</v>
      </c>
      <c r="K127" s="1554">
        <f>H127</f>
        <v>0.29166666666666669</v>
      </c>
      <c r="L127" s="1555"/>
    </row>
    <row r="128" spans="1:12" ht="13.7" customHeight="1">
      <c r="A128" s="1556">
        <f t="shared" si="12"/>
        <v>123</v>
      </c>
      <c r="B128" s="1694" t="s">
        <v>35</v>
      </c>
      <c r="C128" s="1590" t="s">
        <v>1161</v>
      </c>
      <c r="D128" s="1571" t="s">
        <v>1158</v>
      </c>
      <c r="E128" s="1559"/>
      <c r="F128" s="1559">
        <f t="shared" si="8"/>
        <v>4400</v>
      </c>
      <c r="G128" s="1617">
        <v>16</v>
      </c>
      <c r="H128" s="1562">
        <f t="shared" si="9"/>
        <v>0.66666666666666663</v>
      </c>
      <c r="I128" s="1563">
        <f t="shared" si="10"/>
        <v>44280.354166666635</v>
      </c>
      <c r="J128" s="1564">
        <f t="shared" si="11"/>
        <v>64.354166666666671</v>
      </c>
      <c r="K128" s="1569">
        <f t="shared" ref="K128:K130" si="15">H128</f>
        <v>0.66666666666666663</v>
      </c>
      <c r="L128" s="1566"/>
    </row>
    <row r="129" spans="1:12" ht="13.7" customHeight="1">
      <c r="A129" s="1556">
        <f t="shared" si="12"/>
        <v>124</v>
      </c>
      <c r="B129" s="1694" t="s">
        <v>35</v>
      </c>
      <c r="C129" s="1598" t="str">
        <f>CONCATENATE("Бурение в интервале ",F128," - ",F129," м")</f>
        <v>Бурение в интервале 4400 - 4500 м</v>
      </c>
      <c r="D129" s="1571" t="s">
        <v>1158</v>
      </c>
      <c r="E129" s="1559">
        <v>100</v>
      </c>
      <c r="F129" s="1559">
        <f t="shared" si="8"/>
        <v>4500</v>
      </c>
      <c r="G129" s="1607">
        <v>34</v>
      </c>
      <c r="H129" s="1562">
        <f t="shared" si="9"/>
        <v>1.4166666666666667</v>
      </c>
      <c r="I129" s="1563">
        <f t="shared" si="10"/>
        <v>44281.770833333299</v>
      </c>
      <c r="J129" s="1564">
        <f t="shared" si="11"/>
        <v>65.770833333333343</v>
      </c>
      <c r="K129" s="1569">
        <f t="shared" si="15"/>
        <v>1.4166666666666667</v>
      </c>
      <c r="L129" s="1566"/>
    </row>
    <row r="130" spans="1:12" ht="13.7" customHeight="1">
      <c r="A130" s="1556">
        <f t="shared" si="12"/>
        <v>125</v>
      </c>
      <c r="B130" s="1694" t="s">
        <v>35</v>
      </c>
      <c r="C130" s="1619" t="s">
        <v>1159</v>
      </c>
      <c r="D130" s="1571" t="s">
        <v>1158</v>
      </c>
      <c r="E130" s="1559"/>
      <c r="F130" s="1559">
        <f t="shared" si="8"/>
        <v>4500</v>
      </c>
      <c r="G130" s="1608">
        <v>5</v>
      </c>
      <c r="H130" s="1562">
        <f t="shared" si="9"/>
        <v>0.20833333333333334</v>
      </c>
      <c r="I130" s="1563">
        <f t="shared" si="10"/>
        <v>44281.979166666635</v>
      </c>
      <c r="J130" s="1564">
        <f t="shared" si="11"/>
        <v>65.979166666666671</v>
      </c>
      <c r="K130" s="1569">
        <f t="shared" si="15"/>
        <v>0.20833333333333334</v>
      </c>
      <c r="L130" s="1566"/>
    </row>
    <row r="131" spans="1:12" ht="13.7" customHeight="1">
      <c r="A131" s="1556">
        <f t="shared" si="12"/>
        <v>126</v>
      </c>
      <c r="B131" s="1694" t="s">
        <v>35</v>
      </c>
      <c r="C131" s="1620" t="s">
        <v>1162</v>
      </c>
      <c r="D131" s="1571" t="s">
        <v>1158</v>
      </c>
      <c r="E131" s="1559"/>
      <c r="F131" s="1559">
        <f t="shared" si="8"/>
        <v>4500</v>
      </c>
      <c r="G131" s="1621">
        <v>5</v>
      </c>
      <c r="H131" s="1562">
        <f t="shared" si="9"/>
        <v>0.20833333333333334</v>
      </c>
      <c r="I131" s="1563">
        <f t="shared" si="10"/>
        <v>44282.187499999971</v>
      </c>
      <c r="J131" s="1564">
        <f t="shared" si="11"/>
        <v>66.1875</v>
      </c>
      <c r="K131" s="1569">
        <f>H131</f>
        <v>0.20833333333333334</v>
      </c>
      <c r="L131" s="1566"/>
    </row>
    <row r="132" spans="1:12" ht="13.7" customHeight="1">
      <c r="A132" s="1556">
        <f t="shared" si="12"/>
        <v>127</v>
      </c>
      <c r="B132" s="1694" t="s">
        <v>35</v>
      </c>
      <c r="C132" s="1620" t="s">
        <v>1163</v>
      </c>
      <c r="D132" s="1571" t="s">
        <v>1158</v>
      </c>
      <c r="E132" s="1559"/>
      <c r="F132" s="1559">
        <f t="shared" si="8"/>
        <v>4500</v>
      </c>
      <c r="G132" s="1608">
        <v>17</v>
      </c>
      <c r="H132" s="1562">
        <f t="shared" si="9"/>
        <v>0.70833333333333337</v>
      </c>
      <c r="I132" s="1563">
        <f t="shared" si="10"/>
        <v>44282.895833333307</v>
      </c>
      <c r="J132" s="1564">
        <f t="shared" si="11"/>
        <v>66.895833333333329</v>
      </c>
      <c r="K132" s="1565"/>
      <c r="L132" s="1566">
        <f>H132</f>
        <v>0.70833333333333337</v>
      </c>
    </row>
    <row r="133" spans="1:12" ht="13.7" customHeight="1">
      <c r="A133" s="1556">
        <f t="shared" si="12"/>
        <v>128</v>
      </c>
      <c r="B133" s="1694" t="s">
        <v>35</v>
      </c>
      <c r="C133" s="1622" t="s">
        <v>1123</v>
      </c>
      <c r="D133" s="1571" t="s">
        <v>1158</v>
      </c>
      <c r="E133" s="1559"/>
      <c r="F133" s="1559">
        <f t="shared" si="8"/>
        <v>4500</v>
      </c>
      <c r="G133" s="1623">
        <v>7</v>
      </c>
      <c r="H133" s="1562">
        <f t="shared" si="9"/>
        <v>0.29166666666666669</v>
      </c>
      <c r="I133" s="1563">
        <f t="shared" si="10"/>
        <v>44283.187499999971</v>
      </c>
      <c r="J133" s="1564">
        <f t="shared" si="11"/>
        <v>67.1875</v>
      </c>
      <c r="K133" s="1624"/>
      <c r="L133" s="1566">
        <f>H133</f>
        <v>0.29166666666666669</v>
      </c>
    </row>
    <row r="134" spans="1:12" ht="13.7" customHeight="1" thickBot="1">
      <c r="A134" s="1556">
        <f t="shared" si="12"/>
        <v>129</v>
      </c>
      <c r="B134" s="1694" t="s">
        <v>35</v>
      </c>
      <c r="C134" s="1622" t="s">
        <v>1164</v>
      </c>
      <c r="D134" s="1571" t="s">
        <v>1158</v>
      </c>
      <c r="E134" s="1559"/>
      <c r="F134" s="1559">
        <f t="shared" ref="F134" si="16">E134+F133</f>
        <v>4500</v>
      </c>
      <c r="G134" s="1568">
        <v>48</v>
      </c>
      <c r="H134" s="1562">
        <f t="shared" ref="H134" si="17">G134/24</f>
        <v>2</v>
      </c>
      <c r="I134" s="1563">
        <f t="shared" ref="I134" si="18">I133+H134</f>
        <v>44285.187499999971</v>
      </c>
      <c r="J134" s="1564">
        <f t="shared" ref="J134" si="19">J133+H134</f>
        <v>69.1875</v>
      </c>
      <c r="K134" s="1565"/>
      <c r="L134" s="1566">
        <v>1</v>
      </c>
    </row>
    <row r="135" spans="1:12" s="1636" customFormat="1" ht="13.7" customHeight="1" thickBot="1">
      <c r="A135" s="1556">
        <f t="shared" ref="A135" si="20">A134+1</f>
        <v>130</v>
      </c>
      <c r="B135" s="1626"/>
      <c r="C135" s="1627"/>
      <c r="D135" s="1628"/>
      <c r="E135" s="1629"/>
      <c r="F135" s="1630"/>
      <c r="G135" s="1631"/>
      <c r="H135" s="1632"/>
      <c r="I135" s="1633">
        <f>I134</f>
        <v>44285.187499999971</v>
      </c>
      <c r="J135" s="1634">
        <f>J134</f>
        <v>69.1875</v>
      </c>
      <c r="K135" s="1635">
        <f>SUM(K5:K134)</f>
        <v>50.020833333333336</v>
      </c>
      <c r="L135" s="1635">
        <f>SUM(L5:L134)*1.05+K135*0.05</f>
        <v>20.132291666666664</v>
      </c>
    </row>
    <row r="136" spans="1:12" s="1636" customFormat="1" ht="13.7" customHeight="1" thickBot="1">
      <c r="I136" s="1637"/>
      <c r="J136" s="1637"/>
    </row>
    <row r="137" spans="1:12" ht="15" thickBot="1">
      <c r="A137" s="1638">
        <v>1</v>
      </c>
      <c r="B137" s="1639" t="s">
        <v>1169</v>
      </c>
      <c r="C137" s="1640"/>
      <c r="D137" s="1641">
        <f>J135*1.05</f>
        <v>72.646875000000009</v>
      </c>
    </row>
    <row r="138" spans="1:12" ht="13.5" thickBot="1">
      <c r="B138" s="1643"/>
      <c r="D138" s="380"/>
    </row>
    <row r="139" spans="1:12" ht="16.5" thickBot="1">
      <c r="B139" s="1643"/>
      <c r="C139" s="1644" t="s">
        <v>1187</v>
      </c>
      <c r="D139" s="1645"/>
    </row>
  </sheetData>
  <mergeCells count="3">
    <mergeCell ref="A1:J1"/>
    <mergeCell ref="K2:L2"/>
    <mergeCell ref="K3:L3"/>
  </mergeCells>
  <pageMargins left="0.70866141732283472" right="0.19685039370078741" top="0.35433070866141736" bottom="0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workbookViewId="0">
      <selection activeCell="L48" sqref="L48:N48"/>
    </sheetView>
  </sheetViews>
  <sheetFormatPr defaultRowHeight="12.75"/>
  <cols>
    <col min="1" max="1" width="3.85546875" style="1" bestFit="1" customWidth="1"/>
    <col min="2" max="2" width="30.28515625" style="1" bestFit="1" customWidth="1"/>
    <col min="3" max="3" width="9" style="1" customWidth="1"/>
    <col min="4" max="5" width="11.28515625" style="1" customWidth="1"/>
    <col min="6" max="6" width="9" style="1" customWidth="1"/>
    <col min="7" max="7" width="11.42578125" style="1" customWidth="1"/>
    <col min="8" max="9" width="9" style="1" customWidth="1"/>
    <col min="10" max="10" width="11.28515625" style="1" customWidth="1"/>
    <col min="11" max="12" width="9" style="1" customWidth="1"/>
    <col min="13" max="13" width="12.28515625" style="1" customWidth="1"/>
    <col min="14" max="15" width="9" style="1" customWidth="1"/>
    <col min="16" max="16" width="14.140625" style="1" customWidth="1"/>
    <col min="17" max="17" width="14.28515625" style="1" customWidth="1"/>
  </cols>
  <sheetData>
    <row r="1" spans="1:16" ht="14.25" thickBot="1">
      <c r="A1" s="2210" t="s">
        <v>110</v>
      </c>
      <c r="B1" s="2212" t="s">
        <v>34</v>
      </c>
      <c r="C1" s="2214" t="s">
        <v>1304</v>
      </c>
      <c r="D1" s="2217" t="s">
        <v>1305</v>
      </c>
      <c r="E1" s="2220" t="s">
        <v>820</v>
      </c>
      <c r="F1" s="2221"/>
      <c r="G1" s="2221"/>
      <c r="H1" s="2221"/>
      <c r="I1" s="2221"/>
      <c r="J1" s="2221"/>
      <c r="K1" s="2221"/>
      <c r="L1" s="2221"/>
      <c r="M1" s="2221"/>
      <c r="N1" s="2221"/>
      <c r="O1" s="2221"/>
      <c r="P1" s="2221"/>
    </row>
    <row r="2" spans="1:16" ht="13.5">
      <c r="A2" s="2211"/>
      <c r="B2" s="2213"/>
      <c r="C2" s="2215"/>
      <c r="D2" s="2218"/>
      <c r="E2" s="2222" t="s">
        <v>821</v>
      </c>
      <c r="F2" s="2223"/>
      <c r="G2" s="2224"/>
      <c r="H2" s="2225" t="s">
        <v>822</v>
      </c>
      <c r="I2" s="2226"/>
      <c r="J2" s="2227"/>
      <c r="K2" s="2225" t="s">
        <v>1306</v>
      </c>
      <c r="L2" s="2226"/>
      <c r="M2" s="2227"/>
      <c r="N2" s="2225" t="s">
        <v>1307</v>
      </c>
      <c r="O2" s="2226"/>
      <c r="P2" s="2227"/>
    </row>
    <row r="3" spans="1:16" ht="13.5">
      <c r="A3" s="2211"/>
      <c r="B3" s="2213"/>
      <c r="C3" s="2215"/>
      <c r="D3" s="2218"/>
      <c r="E3" s="1954" t="s">
        <v>1308</v>
      </c>
      <c r="F3" s="1955">
        <f>F48</f>
        <v>60</v>
      </c>
      <c r="G3" s="1956" t="s">
        <v>600</v>
      </c>
      <c r="H3" s="1954" t="s">
        <v>1308</v>
      </c>
      <c r="I3" s="1955">
        <f>I48</f>
        <v>167.829479338525</v>
      </c>
      <c r="J3" s="1956" t="s">
        <v>600</v>
      </c>
      <c r="K3" s="1954" t="s">
        <v>1308</v>
      </c>
      <c r="L3" s="1955">
        <f>L48</f>
        <v>255.79728486311998</v>
      </c>
      <c r="M3" s="1956" t="s">
        <v>600</v>
      </c>
      <c r="N3" s="1954" t="s">
        <v>1308</v>
      </c>
      <c r="O3" s="1955">
        <f>O48</f>
        <v>0</v>
      </c>
      <c r="P3" s="1956" t="s">
        <v>600</v>
      </c>
    </row>
    <row r="4" spans="1:16" ht="27.75" thickBot="1">
      <c r="A4" s="2211"/>
      <c r="B4" s="2213"/>
      <c r="C4" s="2216"/>
      <c r="D4" s="2219"/>
      <c r="E4" s="1957" t="s">
        <v>1309</v>
      </c>
      <c r="F4" s="1958" t="s">
        <v>1310</v>
      </c>
      <c r="G4" s="1959" t="s">
        <v>1311</v>
      </c>
      <c r="H4" s="1957" t="s">
        <v>1309</v>
      </c>
      <c r="I4" s="1958" t="s">
        <v>1310</v>
      </c>
      <c r="J4" s="1959" t="s">
        <v>1311</v>
      </c>
      <c r="K4" s="1957" t="s">
        <v>1309</v>
      </c>
      <c r="L4" s="1958" t="s">
        <v>1310</v>
      </c>
      <c r="M4" s="1959" t="s">
        <v>1311</v>
      </c>
      <c r="N4" s="1957" t="s">
        <v>1309</v>
      </c>
      <c r="O4" s="1958" t="s">
        <v>1310</v>
      </c>
      <c r="P4" s="1959" t="s">
        <v>1311</v>
      </c>
    </row>
    <row r="5" spans="1:16">
      <c r="A5" s="1960">
        <v>1</v>
      </c>
      <c r="B5" s="1961" t="s">
        <v>1312</v>
      </c>
      <c r="C5" s="1304"/>
      <c r="D5" s="1962"/>
      <c r="E5" s="1963"/>
      <c r="F5" s="1964"/>
      <c r="G5" s="1965"/>
      <c r="H5" s="1966"/>
      <c r="I5" s="1967"/>
      <c r="J5" s="1968"/>
      <c r="K5" s="1966"/>
      <c r="L5" s="1304"/>
      <c r="M5" s="1968"/>
      <c r="N5" s="1966"/>
      <c r="O5" s="1304"/>
      <c r="P5" s="1968"/>
    </row>
    <row r="6" spans="1:16">
      <c r="A6" s="1960"/>
      <c r="B6" s="1969"/>
      <c r="C6" s="1970" t="s">
        <v>98</v>
      </c>
      <c r="D6" s="1971"/>
      <c r="E6" s="1972"/>
      <c r="F6" s="1967">
        <f>E6*$F$3</f>
        <v>0</v>
      </c>
      <c r="G6" s="978">
        <f t="shared" ref="G6:G33" si="0">F6*D6</f>
        <v>0</v>
      </c>
      <c r="H6" s="1972"/>
      <c r="I6" s="1967">
        <f>H6*$F$3</f>
        <v>0</v>
      </c>
      <c r="J6" s="978">
        <f t="shared" ref="J6:J33" si="1">I6*G6</f>
        <v>0</v>
      </c>
      <c r="K6" s="1972"/>
      <c r="L6" s="1967">
        <f>K6*$F$3</f>
        <v>0</v>
      </c>
      <c r="M6" s="978">
        <f t="shared" ref="M6:M33" si="2">L6*J6</f>
        <v>0</v>
      </c>
      <c r="N6" s="1972"/>
      <c r="O6" s="1967">
        <f>N6*$F$3</f>
        <v>0</v>
      </c>
      <c r="P6" s="978">
        <f t="shared" ref="P6:P33" si="3">O6*M6</f>
        <v>0</v>
      </c>
    </row>
    <row r="7" spans="1:16">
      <c r="A7" s="1960"/>
      <c r="B7" s="1969"/>
      <c r="C7" s="1970" t="s">
        <v>98</v>
      </c>
      <c r="D7" s="1971"/>
      <c r="E7" s="1972"/>
      <c r="F7" s="1967">
        <f t="shared" ref="F7:F33" si="4">E7*$F$3</f>
        <v>0</v>
      </c>
      <c r="G7" s="978">
        <f t="shared" si="0"/>
        <v>0</v>
      </c>
      <c r="H7" s="1972"/>
      <c r="I7" s="1967">
        <f t="shared" ref="I7:I33" si="5">H7*$F$3</f>
        <v>0</v>
      </c>
      <c r="J7" s="978">
        <f t="shared" si="1"/>
        <v>0</v>
      </c>
      <c r="K7" s="1972"/>
      <c r="L7" s="1967">
        <f t="shared" ref="L7:L33" si="6">K7*$F$3</f>
        <v>0</v>
      </c>
      <c r="M7" s="978">
        <f t="shared" si="2"/>
        <v>0</v>
      </c>
      <c r="N7" s="1972"/>
      <c r="O7" s="1967">
        <f t="shared" ref="O7:O33" si="7">N7*$F$3</f>
        <v>0</v>
      </c>
      <c r="P7" s="978">
        <f t="shared" si="3"/>
        <v>0</v>
      </c>
    </row>
    <row r="8" spans="1:16">
      <c r="A8" s="1960"/>
      <c r="B8" s="1969"/>
      <c r="C8" s="1970" t="s">
        <v>98</v>
      </c>
      <c r="D8" s="1971"/>
      <c r="E8" s="1972"/>
      <c r="F8" s="1967">
        <f t="shared" si="4"/>
        <v>0</v>
      </c>
      <c r="G8" s="978">
        <f t="shared" si="0"/>
        <v>0</v>
      </c>
      <c r="H8" s="1972"/>
      <c r="I8" s="1967">
        <f t="shared" si="5"/>
        <v>0</v>
      </c>
      <c r="J8" s="978">
        <f t="shared" si="1"/>
        <v>0</v>
      </c>
      <c r="K8" s="1972"/>
      <c r="L8" s="1967">
        <f t="shared" si="6"/>
        <v>0</v>
      </c>
      <c r="M8" s="978">
        <f t="shared" si="2"/>
        <v>0</v>
      </c>
      <c r="N8" s="1972"/>
      <c r="O8" s="1967">
        <f t="shared" si="7"/>
        <v>0</v>
      </c>
      <c r="P8" s="978">
        <f t="shared" si="3"/>
        <v>0</v>
      </c>
    </row>
    <row r="9" spans="1:16">
      <c r="A9" s="1973"/>
      <c r="B9" s="1974"/>
      <c r="C9" s="1970" t="s">
        <v>98</v>
      </c>
      <c r="D9" s="1971"/>
      <c r="E9" s="1972"/>
      <c r="F9" s="1967">
        <f t="shared" si="4"/>
        <v>0</v>
      </c>
      <c r="G9" s="978">
        <f t="shared" si="0"/>
        <v>0</v>
      </c>
      <c r="H9" s="1972"/>
      <c r="I9" s="1967">
        <f t="shared" si="5"/>
        <v>0</v>
      </c>
      <c r="J9" s="978">
        <f t="shared" si="1"/>
        <v>0</v>
      </c>
      <c r="K9" s="1972"/>
      <c r="L9" s="1967">
        <f t="shared" si="6"/>
        <v>0</v>
      </c>
      <c r="M9" s="978">
        <f t="shared" si="2"/>
        <v>0</v>
      </c>
      <c r="N9" s="1972"/>
      <c r="O9" s="1967">
        <f t="shared" si="7"/>
        <v>0</v>
      </c>
      <c r="P9" s="978">
        <f t="shared" si="3"/>
        <v>0</v>
      </c>
    </row>
    <row r="10" spans="1:16">
      <c r="A10" s="1973"/>
      <c r="B10" s="1974"/>
      <c r="C10" s="1970" t="s">
        <v>98</v>
      </c>
      <c r="D10" s="1971"/>
      <c r="E10" s="1972"/>
      <c r="F10" s="1967">
        <f t="shared" si="4"/>
        <v>0</v>
      </c>
      <c r="G10" s="978">
        <f t="shared" si="0"/>
        <v>0</v>
      </c>
      <c r="H10" s="1972"/>
      <c r="I10" s="1967">
        <f t="shared" si="5"/>
        <v>0</v>
      </c>
      <c r="J10" s="978">
        <f t="shared" si="1"/>
        <v>0</v>
      </c>
      <c r="K10" s="1972"/>
      <c r="L10" s="1967">
        <f t="shared" si="6"/>
        <v>0</v>
      </c>
      <c r="M10" s="978">
        <f t="shared" si="2"/>
        <v>0</v>
      </c>
      <c r="N10" s="1972"/>
      <c r="O10" s="1967">
        <f t="shared" si="7"/>
        <v>0</v>
      </c>
      <c r="P10" s="978">
        <f t="shared" si="3"/>
        <v>0</v>
      </c>
    </row>
    <row r="11" spans="1:16">
      <c r="A11" s="1973"/>
      <c r="B11" s="1974"/>
      <c r="C11" s="1970" t="s">
        <v>98</v>
      </c>
      <c r="D11" s="1971"/>
      <c r="E11" s="1972"/>
      <c r="F11" s="1967">
        <f t="shared" si="4"/>
        <v>0</v>
      </c>
      <c r="G11" s="978">
        <f t="shared" si="0"/>
        <v>0</v>
      </c>
      <c r="H11" s="1972"/>
      <c r="I11" s="1967">
        <f t="shared" si="5"/>
        <v>0</v>
      </c>
      <c r="J11" s="978">
        <f t="shared" si="1"/>
        <v>0</v>
      </c>
      <c r="K11" s="1972"/>
      <c r="L11" s="1967">
        <f t="shared" si="6"/>
        <v>0</v>
      </c>
      <c r="M11" s="978">
        <f t="shared" si="2"/>
        <v>0</v>
      </c>
      <c r="N11" s="1972"/>
      <c r="O11" s="1967">
        <f t="shared" si="7"/>
        <v>0</v>
      </c>
      <c r="P11" s="978">
        <f t="shared" si="3"/>
        <v>0</v>
      </c>
    </row>
    <row r="12" spans="1:16">
      <c r="A12" s="1973"/>
      <c r="B12" s="1969"/>
      <c r="C12" s="1970" t="s">
        <v>98</v>
      </c>
      <c r="D12" s="1971"/>
      <c r="E12" s="1972"/>
      <c r="F12" s="1967">
        <f t="shared" si="4"/>
        <v>0</v>
      </c>
      <c r="G12" s="978">
        <f t="shared" si="0"/>
        <v>0</v>
      </c>
      <c r="H12" s="1972"/>
      <c r="I12" s="1967">
        <f t="shared" si="5"/>
        <v>0</v>
      </c>
      <c r="J12" s="978">
        <f t="shared" si="1"/>
        <v>0</v>
      </c>
      <c r="K12" s="1972"/>
      <c r="L12" s="1967">
        <f t="shared" si="6"/>
        <v>0</v>
      </c>
      <c r="M12" s="978">
        <f t="shared" si="2"/>
        <v>0</v>
      </c>
      <c r="N12" s="1972"/>
      <c r="O12" s="1967">
        <f t="shared" si="7"/>
        <v>0</v>
      </c>
      <c r="P12" s="978">
        <f t="shared" si="3"/>
        <v>0</v>
      </c>
    </row>
    <row r="13" spans="1:16">
      <c r="A13" s="1975"/>
      <c r="B13" s="1976"/>
      <c r="C13" s="1970" t="s">
        <v>98</v>
      </c>
      <c r="D13" s="1971"/>
      <c r="E13" s="1972"/>
      <c r="F13" s="1967">
        <f t="shared" si="4"/>
        <v>0</v>
      </c>
      <c r="G13" s="978">
        <f t="shared" si="0"/>
        <v>0</v>
      </c>
      <c r="H13" s="1972"/>
      <c r="I13" s="1967">
        <f t="shared" si="5"/>
        <v>0</v>
      </c>
      <c r="J13" s="978">
        <f t="shared" si="1"/>
        <v>0</v>
      </c>
      <c r="K13" s="1972"/>
      <c r="L13" s="1967">
        <f t="shared" si="6"/>
        <v>0</v>
      </c>
      <c r="M13" s="978">
        <f t="shared" si="2"/>
        <v>0</v>
      </c>
      <c r="N13" s="1972"/>
      <c r="O13" s="1967">
        <f t="shared" si="7"/>
        <v>0</v>
      </c>
      <c r="P13" s="978">
        <f t="shared" si="3"/>
        <v>0</v>
      </c>
    </row>
    <row r="14" spans="1:16">
      <c r="A14" s="1977"/>
      <c r="B14" s="1974"/>
      <c r="C14" s="1970" t="s">
        <v>98</v>
      </c>
      <c r="D14" s="1971"/>
      <c r="E14" s="1972"/>
      <c r="F14" s="1967">
        <f t="shared" si="4"/>
        <v>0</v>
      </c>
      <c r="G14" s="978">
        <f t="shared" si="0"/>
        <v>0</v>
      </c>
      <c r="H14" s="1972"/>
      <c r="I14" s="1967">
        <f t="shared" si="5"/>
        <v>0</v>
      </c>
      <c r="J14" s="978">
        <f t="shared" si="1"/>
        <v>0</v>
      </c>
      <c r="K14" s="1972"/>
      <c r="L14" s="1967">
        <f t="shared" si="6"/>
        <v>0</v>
      </c>
      <c r="M14" s="978">
        <f t="shared" si="2"/>
        <v>0</v>
      </c>
      <c r="N14" s="1972"/>
      <c r="O14" s="1967">
        <f t="shared" si="7"/>
        <v>0</v>
      </c>
      <c r="P14" s="978">
        <f t="shared" si="3"/>
        <v>0</v>
      </c>
    </row>
    <row r="15" spans="1:16">
      <c r="A15" s="1960"/>
      <c r="B15" s="1969"/>
      <c r="C15" s="1970" t="s">
        <v>98</v>
      </c>
      <c r="D15" s="1971"/>
      <c r="E15" s="1972"/>
      <c r="F15" s="1967">
        <f t="shared" si="4"/>
        <v>0</v>
      </c>
      <c r="G15" s="978">
        <f t="shared" si="0"/>
        <v>0</v>
      </c>
      <c r="H15" s="1972"/>
      <c r="I15" s="1967">
        <f t="shared" si="5"/>
        <v>0</v>
      </c>
      <c r="J15" s="978">
        <f t="shared" si="1"/>
        <v>0</v>
      </c>
      <c r="K15" s="1972"/>
      <c r="L15" s="1967">
        <f t="shared" si="6"/>
        <v>0</v>
      </c>
      <c r="M15" s="978">
        <f t="shared" si="2"/>
        <v>0</v>
      </c>
      <c r="N15" s="1972"/>
      <c r="O15" s="1967">
        <f t="shared" si="7"/>
        <v>0</v>
      </c>
      <c r="P15" s="978">
        <f t="shared" si="3"/>
        <v>0</v>
      </c>
    </row>
    <row r="16" spans="1:16">
      <c r="A16" s="1960"/>
      <c r="B16" s="1969"/>
      <c r="C16" s="1970" t="s">
        <v>98</v>
      </c>
      <c r="D16" s="1971"/>
      <c r="E16" s="1972"/>
      <c r="F16" s="1967">
        <f t="shared" si="4"/>
        <v>0</v>
      </c>
      <c r="G16" s="978">
        <f t="shared" si="0"/>
        <v>0</v>
      </c>
      <c r="H16" s="1972"/>
      <c r="I16" s="1967">
        <f t="shared" si="5"/>
        <v>0</v>
      </c>
      <c r="J16" s="978">
        <f t="shared" si="1"/>
        <v>0</v>
      </c>
      <c r="K16" s="1972"/>
      <c r="L16" s="1967">
        <f t="shared" si="6"/>
        <v>0</v>
      </c>
      <c r="M16" s="978">
        <f t="shared" si="2"/>
        <v>0</v>
      </c>
      <c r="N16" s="1972"/>
      <c r="O16" s="1967">
        <f t="shared" si="7"/>
        <v>0</v>
      </c>
      <c r="P16" s="978">
        <f t="shared" si="3"/>
        <v>0</v>
      </c>
    </row>
    <row r="17" spans="1:16">
      <c r="A17" s="1960"/>
      <c r="B17" s="1969"/>
      <c r="C17" s="1970" t="s">
        <v>98</v>
      </c>
      <c r="D17" s="1971"/>
      <c r="E17" s="1972"/>
      <c r="F17" s="1967">
        <f t="shared" si="4"/>
        <v>0</v>
      </c>
      <c r="G17" s="978">
        <f t="shared" si="0"/>
        <v>0</v>
      </c>
      <c r="H17" s="1972"/>
      <c r="I17" s="1967">
        <f t="shared" si="5"/>
        <v>0</v>
      </c>
      <c r="J17" s="978">
        <f t="shared" si="1"/>
        <v>0</v>
      </c>
      <c r="K17" s="1972"/>
      <c r="L17" s="1967">
        <f t="shared" si="6"/>
        <v>0</v>
      </c>
      <c r="M17" s="978">
        <f t="shared" si="2"/>
        <v>0</v>
      </c>
      <c r="N17" s="1972"/>
      <c r="O17" s="1967">
        <f t="shared" si="7"/>
        <v>0</v>
      </c>
      <c r="P17" s="978">
        <f t="shared" si="3"/>
        <v>0</v>
      </c>
    </row>
    <row r="18" spans="1:16">
      <c r="A18" s="1960"/>
      <c r="B18" s="1969"/>
      <c r="C18" s="1970" t="s">
        <v>98</v>
      </c>
      <c r="D18" s="1971"/>
      <c r="E18" s="1972"/>
      <c r="F18" s="1967">
        <f t="shared" si="4"/>
        <v>0</v>
      </c>
      <c r="G18" s="978">
        <f t="shared" si="0"/>
        <v>0</v>
      </c>
      <c r="H18" s="1972"/>
      <c r="I18" s="1967">
        <f t="shared" si="5"/>
        <v>0</v>
      </c>
      <c r="J18" s="978">
        <f t="shared" si="1"/>
        <v>0</v>
      </c>
      <c r="K18" s="1972"/>
      <c r="L18" s="1967">
        <f t="shared" si="6"/>
        <v>0</v>
      </c>
      <c r="M18" s="978">
        <f t="shared" si="2"/>
        <v>0</v>
      </c>
      <c r="N18" s="1972"/>
      <c r="O18" s="1967">
        <f t="shared" si="7"/>
        <v>0</v>
      </c>
      <c r="P18" s="978">
        <f t="shared" si="3"/>
        <v>0</v>
      </c>
    </row>
    <row r="19" spans="1:16">
      <c r="A19" s="1960"/>
      <c r="B19" s="1969"/>
      <c r="C19" s="1970" t="s">
        <v>98</v>
      </c>
      <c r="D19" s="1971"/>
      <c r="E19" s="1972"/>
      <c r="F19" s="1967">
        <f t="shared" si="4"/>
        <v>0</v>
      </c>
      <c r="G19" s="978">
        <f t="shared" si="0"/>
        <v>0</v>
      </c>
      <c r="H19" s="1972"/>
      <c r="I19" s="1967">
        <f t="shared" si="5"/>
        <v>0</v>
      </c>
      <c r="J19" s="978">
        <f t="shared" si="1"/>
        <v>0</v>
      </c>
      <c r="K19" s="1972"/>
      <c r="L19" s="1967">
        <f t="shared" si="6"/>
        <v>0</v>
      </c>
      <c r="M19" s="978">
        <f t="shared" si="2"/>
        <v>0</v>
      </c>
      <c r="N19" s="1972"/>
      <c r="O19" s="1967">
        <f t="shared" si="7"/>
        <v>0</v>
      </c>
      <c r="P19" s="978">
        <f t="shared" si="3"/>
        <v>0</v>
      </c>
    </row>
    <row r="20" spans="1:16">
      <c r="A20" s="1960"/>
      <c r="B20" s="1969"/>
      <c r="C20" s="1970" t="s">
        <v>98</v>
      </c>
      <c r="D20" s="1971"/>
      <c r="E20" s="1972"/>
      <c r="F20" s="1967">
        <f t="shared" si="4"/>
        <v>0</v>
      </c>
      <c r="G20" s="978">
        <f t="shared" si="0"/>
        <v>0</v>
      </c>
      <c r="H20" s="1972"/>
      <c r="I20" s="1967">
        <f t="shared" si="5"/>
        <v>0</v>
      </c>
      <c r="J20" s="978">
        <f t="shared" si="1"/>
        <v>0</v>
      </c>
      <c r="K20" s="1972"/>
      <c r="L20" s="1967">
        <f t="shared" si="6"/>
        <v>0</v>
      </c>
      <c r="M20" s="978">
        <f t="shared" si="2"/>
        <v>0</v>
      </c>
      <c r="N20" s="1972"/>
      <c r="O20" s="1967">
        <f t="shared" si="7"/>
        <v>0</v>
      </c>
      <c r="P20" s="978">
        <f t="shared" si="3"/>
        <v>0</v>
      </c>
    </row>
    <row r="21" spans="1:16">
      <c r="A21" s="1960"/>
      <c r="B21" s="1969"/>
      <c r="C21" s="1970" t="s">
        <v>98</v>
      </c>
      <c r="D21" s="1971"/>
      <c r="E21" s="1972"/>
      <c r="F21" s="1967">
        <f t="shared" si="4"/>
        <v>0</v>
      </c>
      <c r="G21" s="978">
        <f t="shared" si="0"/>
        <v>0</v>
      </c>
      <c r="H21" s="1972"/>
      <c r="I21" s="1967">
        <f t="shared" si="5"/>
        <v>0</v>
      </c>
      <c r="J21" s="978">
        <f t="shared" si="1"/>
        <v>0</v>
      </c>
      <c r="K21" s="1972"/>
      <c r="L21" s="1967">
        <f t="shared" si="6"/>
        <v>0</v>
      </c>
      <c r="M21" s="978">
        <f t="shared" si="2"/>
        <v>0</v>
      </c>
      <c r="N21" s="1972"/>
      <c r="O21" s="1967">
        <f t="shared" si="7"/>
        <v>0</v>
      </c>
      <c r="P21" s="978">
        <f t="shared" si="3"/>
        <v>0</v>
      </c>
    </row>
    <row r="22" spans="1:16">
      <c r="A22" s="1960"/>
      <c r="B22" s="1969"/>
      <c r="C22" s="1970" t="s">
        <v>98</v>
      </c>
      <c r="D22" s="1971"/>
      <c r="E22" s="1972"/>
      <c r="F22" s="1967">
        <f t="shared" si="4"/>
        <v>0</v>
      </c>
      <c r="G22" s="978">
        <f t="shared" si="0"/>
        <v>0</v>
      </c>
      <c r="H22" s="1972"/>
      <c r="I22" s="1967">
        <f t="shared" si="5"/>
        <v>0</v>
      </c>
      <c r="J22" s="978">
        <f t="shared" si="1"/>
        <v>0</v>
      </c>
      <c r="K22" s="1972"/>
      <c r="L22" s="1967">
        <f t="shared" si="6"/>
        <v>0</v>
      </c>
      <c r="M22" s="978">
        <f t="shared" si="2"/>
        <v>0</v>
      </c>
      <c r="N22" s="1972"/>
      <c r="O22" s="1967">
        <f t="shared" si="7"/>
        <v>0</v>
      </c>
      <c r="P22" s="978">
        <f t="shared" si="3"/>
        <v>0</v>
      </c>
    </row>
    <row r="23" spans="1:16">
      <c r="A23" s="1960"/>
      <c r="B23" s="1969"/>
      <c r="C23" s="1970" t="s">
        <v>98</v>
      </c>
      <c r="D23" s="1971"/>
      <c r="E23" s="1972"/>
      <c r="F23" s="1967">
        <f t="shared" si="4"/>
        <v>0</v>
      </c>
      <c r="G23" s="978">
        <f t="shared" si="0"/>
        <v>0</v>
      </c>
      <c r="H23" s="1972"/>
      <c r="I23" s="1967">
        <f t="shared" si="5"/>
        <v>0</v>
      </c>
      <c r="J23" s="978">
        <f t="shared" si="1"/>
        <v>0</v>
      </c>
      <c r="K23" s="1972"/>
      <c r="L23" s="1967">
        <f t="shared" si="6"/>
        <v>0</v>
      </c>
      <c r="M23" s="978">
        <f t="shared" si="2"/>
        <v>0</v>
      </c>
      <c r="N23" s="1972"/>
      <c r="O23" s="1967">
        <f t="shared" si="7"/>
        <v>0</v>
      </c>
      <c r="P23" s="978">
        <f t="shared" si="3"/>
        <v>0</v>
      </c>
    </row>
    <row r="24" spans="1:16">
      <c r="A24" s="1960"/>
      <c r="B24" s="1969"/>
      <c r="C24" s="1970" t="s">
        <v>98</v>
      </c>
      <c r="D24" s="1971"/>
      <c r="E24" s="1972"/>
      <c r="F24" s="1967">
        <f t="shared" si="4"/>
        <v>0</v>
      </c>
      <c r="G24" s="978">
        <f t="shared" si="0"/>
        <v>0</v>
      </c>
      <c r="H24" s="1972"/>
      <c r="I24" s="1967">
        <f t="shared" si="5"/>
        <v>0</v>
      </c>
      <c r="J24" s="978">
        <f t="shared" si="1"/>
        <v>0</v>
      </c>
      <c r="K24" s="1972"/>
      <c r="L24" s="1967">
        <f t="shared" si="6"/>
        <v>0</v>
      </c>
      <c r="M24" s="978">
        <f t="shared" si="2"/>
        <v>0</v>
      </c>
      <c r="N24" s="1972"/>
      <c r="O24" s="1967">
        <f t="shared" si="7"/>
        <v>0</v>
      </c>
      <c r="P24" s="978">
        <f t="shared" si="3"/>
        <v>0</v>
      </c>
    </row>
    <row r="25" spans="1:16">
      <c r="A25" s="1960"/>
      <c r="B25" s="1969"/>
      <c r="C25" s="1970" t="s">
        <v>98</v>
      </c>
      <c r="D25" s="1971"/>
      <c r="E25" s="1972"/>
      <c r="F25" s="1967">
        <f t="shared" si="4"/>
        <v>0</v>
      </c>
      <c r="G25" s="978">
        <f t="shared" si="0"/>
        <v>0</v>
      </c>
      <c r="H25" s="1972"/>
      <c r="I25" s="1967">
        <f t="shared" si="5"/>
        <v>0</v>
      </c>
      <c r="J25" s="978">
        <f t="shared" si="1"/>
        <v>0</v>
      </c>
      <c r="K25" s="1972"/>
      <c r="L25" s="1967">
        <f t="shared" si="6"/>
        <v>0</v>
      </c>
      <c r="M25" s="978">
        <f t="shared" si="2"/>
        <v>0</v>
      </c>
      <c r="N25" s="1972"/>
      <c r="O25" s="1967">
        <f t="shared" si="7"/>
        <v>0</v>
      </c>
      <c r="P25" s="978">
        <f t="shared" si="3"/>
        <v>0</v>
      </c>
    </row>
    <row r="26" spans="1:16">
      <c r="A26" s="1973"/>
      <c r="B26" s="1974"/>
      <c r="C26" s="1970" t="s">
        <v>98</v>
      </c>
      <c r="D26" s="1971"/>
      <c r="E26" s="1972"/>
      <c r="F26" s="1967">
        <f t="shared" si="4"/>
        <v>0</v>
      </c>
      <c r="G26" s="978">
        <f t="shared" si="0"/>
        <v>0</v>
      </c>
      <c r="H26" s="1972"/>
      <c r="I26" s="1967">
        <f t="shared" si="5"/>
        <v>0</v>
      </c>
      <c r="J26" s="978">
        <f t="shared" si="1"/>
        <v>0</v>
      </c>
      <c r="K26" s="1972"/>
      <c r="L26" s="1967">
        <f t="shared" si="6"/>
        <v>0</v>
      </c>
      <c r="M26" s="978">
        <f t="shared" si="2"/>
        <v>0</v>
      </c>
      <c r="N26" s="1972"/>
      <c r="O26" s="1967">
        <f t="shared" si="7"/>
        <v>0</v>
      </c>
      <c r="P26" s="978">
        <f t="shared" si="3"/>
        <v>0</v>
      </c>
    </row>
    <row r="27" spans="1:16">
      <c r="A27" s="1973"/>
      <c r="B27" s="1974"/>
      <c r="C27" s="1970" t="s">
        <v>98</v>
      </c>
      <c r="D27" s="1971"/>
      <c r="E27" s="1972"/>
      <c r="F27" s="1967">
        <f t="shared" si="4"/>
        <v>0</v>
      </c>
      <c r="G27" s="978">
        <f t="shared" si="0"/>
        <v>0</v>
      </c>
      <c r="H27" s="1972"/>
      <c r="I27" s="1967">
        <f t="shared" si="5"/>
        <v>0</v>
      </c>
      <c r="J27" s="978">
        <f t="shared" si="1"/>
        <v>0</v>
      </c>
      <c r="K27" s="1972"/>
      <c r="L27" s="1967">
        <f t="shared" si="6"/>
        <v>0</v>
      </c>
      <c r="M27" s="978">
        <f t="shared" si="2"/>
        <v>0</v>
      </c>
      <c r="N27" s="1972"/>
      <c r="O27" s="1967">
        <f t="shared" si="7"/>
        <v>0</v>
      </c>
      <c r="P27" s="978">
        <f t="shared" si="3"/>
        <v>0</v>
      </c>
    </row>
    <row r="28" spans="1:16">
      <c r="A28" s="1978"/>
      <c r="B28" s="1979"/>
      <c r="C28" s="1970" t="s">
        <v>98</v>
      </c>
      <c r="D28" s="1971"/>
      <c r="E28" s="1972"/>
      <c r="F28" s="1967">
        <f t="shared" si="4"/>
        <v>0</v>
      </c>
      <c r="G28" s="978">
        <f t="shared" si="0"/>
        <v>0</v>
      </c>
      <c r="H28" s="1972"/>
      <c r="I28" s="1967">
        <f t="shared" si="5"/>
        <v>0</v>
      </c>
      <c r="J28" s="978">
        <f t="shared" si="1"/>
        <v>0</v>
      </c>
      <c r="K28" s="1972"/>
      <c r="L28" s="1967">
        <f t="shared" si="6"/>
        <v>0</v>
      </c>
      <c r="M28" s="978">
        <f t="shared" si="2"/>
        <v>0</v>
      </c>
      <c r="N28" s="1972"/>
      <c r="O28" s="1967">
        <f t="shared" si="7"/>
        <v>0</v>
      </c>
      <c r="P28" s="978">
        <f t="shared" si="3"/>
        <v>0</v>
      </c>
    </row>
    <row r="29" spans="1:16">
      <c r="A29" s="1978"/>
      <c r="B29" s="1979"/>
      <c r="C29" s="1970" t="s">
        <v>98</v>
      </c>
      <c r="D29" s="1971"/>
      <c r="E29" s="1972"/>
      <c r="F29" s="1967">
        <f t="shared" si="4"/>
        <v>0</v>
      </c>
      <c r="G29" s="978">
        <f t="shared" si="0"/>
        <v>0</v>
      </c>
      <c r="H29" s="1972"/>
      <c r="I29" s="1967">
        <f t="shared" si="5"/>
        <v>0</v>
      </c>
      <c r="J29" s="978">
        <f t="shared" si="1"/>
        <v>0</v>
      </c>
      <c r="K29" s="1972"/>
      <c r="L29" s="1967">
        <f t="shared" si="6"/>
        <v>0</v>
      </c>
      <c r="M29" s="978">
        <f t="shared" si="2"/>
        <v>0</v>
      </c>
      <c r="N29" s="1972"/>
      <c r="O29" s="1967">
        <f t="shared" si="7"/>
        <v>0</v>
      </c>
      <c r="P29" s="978">
        <f t="shared" si="3"/>
        <v>0</v>
      </c>
    </row>
    <row r="30" spans="1:16">
      <c r="A30" s="1978"/>
      <c r="B30" s="1979"/>
      <c r="C30" s="1970" t="s">
        <v>98</v>
      </c>
      <c r="D30" s="1971"/>
      <c r="E30" s="1972"/>
      <c r="F30" s="1967">
        <f t="shared" si="4"/>
        <v>0</v>
      </c>
      <c r="G30" s="978">
        <f t="shared" si="0"/>
        <v>0</v>
      </c>
      <c r="H30" s="1972"/>
      <c r="I30" s="1967">
        <f t="shared" si="5"/>
        <v>0</v>
      </c>
      <c r="J30" s="978">
        <f t="shared" si="1"/>
        <v>0</v>
      </c>
      <c r="K30" s="1972"/>
      <c r="L30" s="1967">
        <f t="shared" si="6"/>
        <v>0</v>
      </c>
      <c r="M30" s="978">
        <f t="shared" si="2"/>
        <v>0</v>
      </c>
      <c r="N30" s="1972"/>
      <c r="O30" s="1967">
        <f t="shared" si="7"/>
        <v>0</v>
      </c>
      <c r="P30" s="978">
        <f t="shared" si="3"/>
        <v>0</v>
      </c>
    </row>
    <row r="31" spans="1:16">
      <c r="A31" s="1978"/>
      <c r="B31" s="1979"/>
      <c r="C31" s="1970" t="s">
        <v>98</v>
      </c>
      <c r="D31" s="1971"/>
      <c r="E31" s="1972"/>
      <c r="F31" s="1967">
        <f t="shared" si="4"/>
        <v>0</v>
      </c>
      <c r="G31" s="978">
        <f t="shared" si="0"/>
        <v>0</v>
      </c>
      <c r="H31" s="1972"/>
      <c r="I31" s="1967">
        <f t="shared" si="5"/>
        <v>0</v>
      </c>
      <c r="J31" s="978">
        <f t="shared" si="1"/>
        <v>0</v>
      </c>
      <c r="K31" s="1972"/>
      <c r="L31" s="1967">
        <f t="shared" si="6"/>
        <v>0</v>
      </c>
      <c r="M31" s="978">
        <f t="shared" si="2"/>
        <v>0</v>
      </c>
      <c r="N31" s="1972"/>
      <c r="O31" s="1967">
        <f t="shared" si="7"/>
        <v>0</v>
      </c>
      <c r="P31" s="978">
        <f t="shared" si="3"/>
        <v>0</v>
      </c>
    </row>
    <row r="32" spans="1:16">
      <c r="A32" s="1978"/>
      <c r="B32" s="1980"/>
      <c r="C32" s="1981" t="s">
        <v>98</v>
      </c>
      <c r="D32" s="1971"/>
      <c r="E32" s="1972"/>
      <c r="F32" s="1967">
        <f t="shared" si="4"/>
        <v>0</v>
      </c>
      <c r="G32" s="978">
        <f t="shared" si="0"/>
        <v>0</v>
      </c>
      <c r="H32" s="1972"/>
      <c r="I32" s="1967">
        <f t="shared" si="5"/>
        <v>0</v>
      </c>
      <c r="J32" s="978">
        <f t="shared" si="1"/>
        <v>0</v>
      </c>
      <c r="K32" s="1972"/>
      <c r="L32" s="1967">
        <f t="shared" si="6"/>
        <v>0</v>
      </c>
      <c r="M32" s="978">
        <f t="shared" si="2"/>
        <v>0</v>
      </c>
      <c r="N32" s="1972"/>
      <c r="O32" s="1967">
        <f t="shared" si="7"/>
        <v>0</v>
      </c>
      <c r="P32" s="978">
        <f t="shared" si="3"/>
        <v>0</v>
      </c>
    </row>
    <row r="33" spans="1:19">
      <c r="A33" s="1978"/>
      <c r="B33" s="1979"/>
      <c r="C33" s="1970" t="s">
        <v>98</v>
      </c>
      <c r="D33" s="1982"/>
      <c r="E33" s="1972"/>
      <c r="F33" s="1967">
        <f t="shared" si="4"/>
        <v>0</v>
      </c>
      <c r="G33" s="978">
        <f t="shared" si="0"/>
        <v>0</v>
      </c>
      <c r="H33" s="1972"/>
      <c r="I33" s="1967">
        <f t="shared" si="5"/>
        <v>0</v>
      </c>
      <c r="J33" s="978">
        <f t="shared" si="1"/>
        <v>0</v>
      </c>
      <c r="K33" s="1972"/>
      <c r="L33" s="1967">
        <f t="shared" si="6"/>
        <v>0</v>
      </c>
      <c r="M33" s="978">
        <f t="shared" si="2"/>
        <v>0</v>
      </c>
      <c r="N33" s="1972"/>
      <c r="O33" s="1967">
        <f t="shared" si="7"/>
        <v>0</v>
      </c>
      <c r="P33" s="978">
        <f t="shared" si="3"/>
        <v>0</v>
      </c>
    </row>
    <row r="34" spans="1:19" ht="13.5" thickBot="1">
      <c r="A34" s="1983"/>
      <c r="B34" s="1984" t="s">
        <v>67</v>
      </c>
      <c r="C34" s="1984"/>
      <c r="D34" s="1985"/>
      <c r="E34" s="1986"/>
      <c r="F34" s="1987"/>
      <c r="G34" s="1988">
        <f>SUM(G6:G33)</f>
        <v>0</v>
      </c>
      <c r="H34" s="1986"/>
      <c r="I34" s="1987"/>
      <c r="J34" s="1988">
        <f>SUM(J6:J33)</f>
        <v>0</v>
      </c>
      <c r="K34" s="1986"/>
      <c r="L34" s="1987"/>
      <c r="M34" s="1988">
        <f>SUM(M6:M33)</f>
        <v>0</v>
      </c>
      <c r="N34" s="1986"/>
      <c r="O34" s="1987"/>
      <c r="P34" s="1988">
        <f>SUM(P6:P33)</f>
        <v>0</v>
      </c>
    </row>
    <row r="35" spans="1:19">
      <c r="B35" s="1989" t="s">
        <v>26</v>
      </c>
      <c r="C35" s="1990"/>
      <c r="D35" s="1990"/>
      <c r="E35" s="1991"/>
      <c r="F35" s="1992"/>
      <c r="G35" s="1991"/>
      <c r="H35" s="1992"/>
      <c r="I35" s="1992"/>
      <c r="J35" s="1991"/>
      <c r="K35" s="1992"/>
      <c r="L35" s="1992"/>
      <c r="M35" s="1991"/>
      <c r="N35" s="1992"/>
      <c r="O35" s="1992"/>
      <c r="P35" s="1991"/>
    </row>
    <row r="37" spans="1:19" ht="15.75">
      <c r="A37" s="2228" t="s">
        <v>1313</v>
      </c>
      <c r="B37" s="2229"/>
      <c r="C37" s="2229"/>
      <c r="D37" s="2229"/>
      <c r="E37" s="2230"/>
      <c r="F37" s="2231" t="s">
        <v>1314</v>
      </c>
      <c r="G37" s="2232"/>
      <c r="H37" s="2233"/>
      <c r="I37" s="2231" t="s">
        <v>1315</v>
      </c>
      <c r="J37" s="2232"/>
      <c r="K37" s="2233"/>
      <c r="L37" s="2231" t="s">
        <v>1316</v>
      </c>
      <c r="M37" s="2232"/>
      <c r="N37" s="2233"/>
      <c r="O37" s="1758"/>
      <c r="P37" s="1758"/>
      <c r="Q37" s="1758"/>
      <c r="R37" s="1758"/>
      <c r="S37" s="1758"/>
    </row>
    <row r="38" spans="1:19" ht="15.75">
      <c r="A38" s="2228" t="s">
        <v>1317</v>
      </c>
      <c r="B38" s="2229"/>
      <c r="C38" s="2229"/>
      <c r="D38" s="2229"/>
      <c r="E38" s="2230"/>
      <c r="F38" s="2231" t="s">
        <v>1318</v>
      </c>
      <c r="G38" s="2232"/>
      <c r="H38" s="2233"/>
      <c r="I38" s="2231" t="s">
        <v>1318</v>
      </c>
      <c r="J38" s="2232"/>
      <c r="K38" s="2233"/>
      <c r="L38" s="2234" t="s">
        <v>1319</v>
      </c>
      <c r="M38" s="2235"/>
      <c r="N38" s="2236"/>
      <c r="O38" s="1758"/>
      <c r="P38" s="1758"/>
      <c r="Q38" s="1758"/>
      <c r="R38" s="1758"/>
      <c r="S38" s="1758"/>
    </row>
    <row r="39" spans="1:19" ht="15.75">
      <c r="A39" s="2237" t="s">
        <v>1321</v>
      </c>
      <c r="B39" s="2238"/>
      <c r="C39" s="2238"/>
      <c r="D39" s="2238"/>
      <c r="E39" s="2239"/>
      <c r="F39" s="2243" t="s">
        <v>1322</v>
      </c>
      <c r="G39" s="2244"/>
      <c r="H39" s="2245"/>
      <c r="I39" s="2243" t="s">
        <v>1323</v>
      </c>
      <c r="J39" s="2244"/>
      <c r="K39" s="2245"/>
      <c r="L39" s="2243" t="s">
        <v>1324</v>
      </c>
      <c r="M39" s="2244"/>
      <c r="N39" s="2245"/>
      <c r="O39" s="1758"/>
      <c r="P39" s="1758"/>
      <c r="Q39" s="1758"/>
      <c r="R39" s="1758"/>
      <c r="S39" s="1758"/>
    </row>
    <row r="40" spans="1:19" ht="15.75">
      <c r="A40" s="2237" t="s">
        <v>1325</v>
      </c>
      <c r="B40" s="2238"/>
      <c r="C40" s="2238"/>
      <c r="D40" s="2238"/>
      <c r="E40" s="2239"/>
      <c r="F40" s="2240">
        <v>0.49</v>
      </c>
      <c r="G40" s="2241"/>
      <c r="H40" s="2242"/>
      <c r="I40" s="2240">
        <v>0.29530000000000001</v>
      </c>
      <c r="J40" s="2241"/>
      <c r="K40" s="2242"/>
      <c r="L40" s="2240">
        <v>0.21590000000000001</v>
      </c>
      <c r="M40" s="2241"/>
      <c r="N40" s="2242"/>
      <c r="O40" s="1758"/>
      <c r="P40" s="1758"/>
      <c r="Q40" s="1758"/>
      <c r="R40" s="1758"/>
      <c r="S40" s="1758"/>
    </row>
    <row r="41" spans="1:19" ht="15.75">
      <c r="A41" s="2237" t="s">
        <v>1326</v>
      </c>
      <c r="B41" s="2238"/>
      <c r="C41" s="2238"/>
      <c r="D41" s="2238"/>
      <c r="E41" s="2239"/>
      <c r="F41" s="2240">
        <v>0.42599999999999999</v>
      </c>
      <c r="G41" s="2241"/>
      <c r="H41" s="2242"/>
      <c r="I41" s="2240">
        <v>0.245</v>
      </c>
      <c r="J41" s="2241"/>
      <c r="K41" s="2242"/>
      <c r="L41" s="2240">
        <v>0.16800000000000001</v>
      </c>
      <c r="M41" s="2241"/>
      <c r="N41" s="2242"/>
      <c r="O41" s="1758"/>
      <c r="P41" s="1758"/>
      <c r="Q41" s="1758"/>
      <c r="R41" s="1758"/>
      <c r="S41" s="1758"/>
    </row>
    <row r="42" spans="1:19" ht="15.75">
      <c r="A42" s="2246" t="s">
        <v>825</v>
      </c>
      <c r="B42" s="2247"/>
      <c r="C42" s="2247"/>
      <c r="D42" s="2247"/>
      <c r="E42" s="2248"/>
      <c r="F42" s="2249">
        <v>1.2</v>
      </c>
      <c r="G42" s="2250"/>
      <c r="H42" s="2251"/>
      <c r="I42" s="2249">
        <v>1.3</v>
      </c>
      <c r="J42" s="2250"/>
      <c r="K42" s="2251"/>
      <c r="L42" s="2249">
        <v>1.2</v>
      </c>
      <c r="M42" s="2250"/>
      <c r="N42" s="2251"/>
      <c r="O42" s="1758"/>
      <c r="P42" s="1758"/>
      <c r="Q42" s="1758"/>
      <c r="R42" s="1758"/>
      <c r="S42" s="1758"/>
    </row>
    <row r="43" spans="1:19" ht="15.75">
      <c r="A43" s="2237" t="s">
        <v>1327</v>
      </c>
      <c r="B43" s="2238"/>
      <c r="C43" s="2238"/>
      <c r="D43" s="2238"/>
      <c r="E43" s="2239"/>
      <c r="F43" s="2258">
        <f>C47</f>
        <v>0</v>
      </c>
      <c r="G43" s="2259"/>
      <c r="H43" s="2260"/>
      <c r="I43" s="2258">
        <v>10</v>
      </c>
      <c r="J43" s="2259"/>
      <c r="K43" s="2260"/>
      <c r="L43" s="2258">
        <v>40</v>
      </c>
      <c r="M43" s="2259"/>
      <c r="N43" s="2260"/>
      <c r="O43" s="1758"/>
      <c r="P43" s="1758"/>
      <c r="Q43" s="1758"/>
      <c r="R43" s="1758"/>
      <c r="S43" s="1758"/>
    </row>
    <row r="44" spans="1:19" ht="15.75">
      <c r="A44" s="2252" t="s">
        <v>1328</v>
      </c>
      <c r="B44" s="2253"/>
      <c r="C44" s="2253"/>
      <c r="D44" s="2253"/>
      <c r="E44" s="2254"/>
      <c r="F44" s="2255">
        <f>0.785*(F40)*(F40)*F39*F42</f>
        <v>11.30871</v>
      </c>
      <c r="G44" s="2256"/>
      <c r="H44" s="2257"/>
      <c r="I44" s="2255">
        <f>(0.785*(((F41-2*0.01))^2)*F39)+(0.785*((I40)^2)*(I39-F39)*I42)</f>
        <v>62.533344692350013</v>
      </c>
      <c r="J44" s="2256"/>
      <c r="K44" s="2257"/>
      <c r="L44" s="2255">
        <f>(0.785*(((I41-2*0.0095)^2)*I39)+(0.785*((L40)^2)*(L39-I39)*L42))</f>
        <v>109.37469812740001</v>
      </c>
      <c r="M44" s="2256"/>
      <c r="N44" s="2257"/>
      <c r="O44" s="1758"/>
      <c r="P44" s="1758"/>
      <c r="Q44" s="1758"/>
      <c r="R44" s="1758"/>
      <c r="S44" s="1758"/>
    </row>
    <row r="45" spans="1:19" ht="15.75">
      <c r="A45" s="2252" t="s">
        <v>1329</v>
      </c>
      <c r="B45" s="2253"/>
      <c r="C45" s="2253"/>
      <c r="D45" s="2253"/>
      <c r="E45" s="2254"/>
      <c r="F45" s="2255">
        <f>F39*(F41-0.01-0.01)^2*0.785</f>
        <v>6.4698130000000003</v>
      </c>
      <c r="G45" s="2256"/>
      <c r="H45" s="2257"/>
      <c r="I45" s="2255">
        <f>I39*(I41-0.0095-0.0095)^2*0.785</f>
        <v>27.264368799999993</v>
      </c>
      <c r="J45" s="2256"/>
      <c r="K45" s="2257"/>
      <c r="L45" s="2255">
        <f>L39*(0.2445-0.0095-0.0095)^2*0.785</f>
        <v>101.78948793749998</v>
      </c>
      <c r="M45" s="2256"/>
      <c r="N45" s="2257"/>
      <c r="O45" s="1758"/>
      <c r="P45" s="1758"/>
      <c r="Q45" s="1758"/>
      <c r="R45" s="1758"/>
      <c r="S45" s="1758"/>
    </row>
    <row r="46" spans="1:19" ht="15.75">
      <c r="A46" s="2252" t="s">
        <v>1330</v>
      </c>
      <c r="B46" s="2253"/>
      <c r="C46" s="2253"/>
      <c r="D46" s="2253"/>
      <c r="E46" s="2254"/>
      <c r="F46" s="2255">
        <f>F44*0.5</f>
        <v>5.6543549999999998</v>
      </c>
      <c r="G46" s="2256"/>
      <c r="H46" s="2257"/>
      <c r="I46" s="2255">
        <f>I40*I40*I42*0.785*(I39-F39)*0.5</f>
        <v>28.031765846175006</v>
      </c>
      <c r="J46" s="2256"/>
      <c r="K46" s="2257"/>
      <c r="L46" s="2255">
        <f>L40*L40*L42*0.785*(L39-I39)*0.3</f>
        <v>24.633098798220001</v>
      </c>
      <c r="M46" s="2256"/>
      <c r="N46" s="2257"/>
      <c r="O46" s="1758"/>
      <c r="P46" s="1758"/>
      <c r="Q46" s="1758"/>
      <c r="R46" s="1758"/>
      <c r="S46" s="1758"/>
    </row>
    <row r="47" spans="1:19" ht="15.75">
      <c r="A47" s="2252" t="s">
        <v>1331</v>
      </c>
      <c r="B47" s="2253"/>
      <c r="C47" s="2253"/>
      <c r="D47" s="2253"/>
      <c r="E47" s="2254"/>
      <c r="F47" s="2255">
        <f>F44+F45+F46</f>
        <v>23.432877999999999</v>
      </c>
      <c r="G47" s="2256"/>
      <c r="H47" s="2257"/>
      <c r="I47" s="2255">
        <f>I44+I45+I46</f>
        <v>117.829479338525</v>
      </c>
      <c r="J47" s="2256"/>
      <c r="K47" s="2257"/>
      <c r="L47" s="2255">
        <f>L44+L45+L46</f>
        <v>235.79728486311998</v>
      </c>
      <c r="M47" s="2256"/>
      <c r="N47" s="2257"/>
      <c r="O47" s="1758"/>
      <c r="P47" s="1758"/>
      <c r="Q47" s="1758"/>
      <c r="R47" s="1758"/>
      <c r="S47" s="1758"/>
    </row>
    <row r="48" spans="1:19" ht="15.75">
      <c r="A48" s="2261" t="s">
        <v>1331</v>
      </c>
      <c r="B48" s="2262"/>
      <c r="C48" s="2262"/>
      <c r="D48" s="2262"/>
      <c r="E48" s="2263"/>
      <c r="F48" s="2255">
        <f>20+40</f>
        <v>60</v>
      </c>
      <c r="G48" s="2256"/>
      <c r="H48" s="2257"/>
      <c r="I48" s="2255">
        <f>I47-I43+60</f>
        <v>167.829479338525</v>
      </c>
      <c r="J48" s="2256"/>
      <c r="K48" s="2257"/>
      <c r="L48" s="2255">
        <f>L47-L43+60</f>
        <v>255.79728486311998</v>
      </c>
      <c r="M48" s="2256"/>
      <c r="N48" s="2257"/>
      <c r="O48" s="1758"/>
      <c r="P48" s="1758"/>
      <c r="Q48" s="1758"/>
      <c r="R48" s="1758"/>
      <c r="S48" s="1758"/>
    </row>
    <row r="53" spans="1:17" ht="13.5">
      <c r="B53" s="1993" t="s">
        <v>1332</v>
      </c>
    </row>
    <row r="54" spans="1:17" ht="13.5">
      <c r="B54" s="1993" t="s">
        <v>1333</v>
      </c>
    </row>
    <row r="58" spans="1:17">
      <c r="A58" s="1994"/>
      <c r="B58" s="1994"/>
      <c r="C58" s="1994"/>
      <c r="D58" s="1995"/>
      <c r="E58" s="1995"/>
      <c r="F58" s="1995"/>
      <c r="G58" s="1994"/>
      <c r="H58" s="1995"/>
      <c r="I58" s="1995"/>
      <c r="J58" s="1995"/>
      <c r="K58" s="1994"/>
      <c r="L58" s="1994"/>
      <c r="M58" s="1994"/>
      <c r="N58" s="1994"/>
      <c r="O58" s="1994"/>
      <c r="P58" s="1996"/>
      <c r="Q58" s="1994"/>
    </row>
    <row r="59" spans="1:17">
      <c r="H59" s="1" t="s">
        <v>124</v>
      </c>
      <c r="P59" s="1" t="s">
        <v>127</v>
      </c>
    </row>
  </sheetData>
  <mergeCells count="57">
    <mergeCell ref="A48:E48"/>
    <mergeCell ref="F48:H48"/>
    <mergeCell ref="I48:K48"/>
    <mergeCell ref="L48:N48"/>
    <mergeCell ref="A47:E47"/>
    <mergeCell ref="F47:H47"/>
    <mergeCell ref="I47:K47"/>
    <mergeCell ref="L47:N47"/>
    <mergeCell ref="A46:E46"/>
    <mergeCell ref="F46:H46"/>
    <mergeCell ref="I46:K46"/>
    <mergeCell ref="L46:N46"/>
    <mergeCell ref="A45:E45"/>
    <mergeCell ref="F45:H45"/>
    <mergeCell ref="I45:K45"/>
    <mergeCell ref="L45:N45"/>
    <mergeCell ref="A44:E44"/>
    <mergeCell ref="F44:H44"/>
    <mergeCell ref="I44:K44"/>
    <mergeCell ref="L44:N44"/>
    <mergeCell ref="A43:E43"/>
    <mergeCell ref="F43:H43"/>
    <mergeCell ref="I43:K43"/>
    <mergeCell ref="L43:N43"/>
    <mergeCell ref="A42:E42"/>
    <mergeCell ref="F42:H42"/>
    <mergeCell ref="I42:K42"/>
    <mergeCell ref="L42:N42"/>
    <mergeCell ref="A41:E41"/>
    <mergeCell ref="F41:H41"/>
    <mergeCell ref="I41:K41"/>
    <mergeCell ref="L41:N41"/>
    <mergeCell ref="A40:E40"/>
    <mergeCell ref="F40:H40"/>
    <mergeCell ref="I40:K40"/>
    <mergeCell ref="L40:N40"/>
    <mergeCell ref="A39:E39"/>
    <mergeCell ref="F39:H39"/>
    <mergeCell ref="I39:K39"/>
    <mergeCell ref="L39:N39"/>
    <mergeCell ref="A38:E38"/>
    <mergeCell ref="F38:H38"/>
    <mergeCell ref="I38:K38"/>
    <mergeCell ref="L38:N38"/>
    <mergeCell ref="A37:E37"/>
    <mergeCell ref="F37:H37"/>
    <mergeCell ref="I37:K37"/>
    <mergeCell ref="L37:N37"/>
    <mergeCell ref="A1:A4"/>
    <mergeCell ref="B1:B4"/>
    <mergeCell ref="C1:C4"/>
    <mergeCell ref="D1:D4"/>
    <mergeCell ref="E1:P1"/>
    <mergeCell ref="E2:G2"/>
    <mergeCell ref="H2:J2"/>
    <mergeCell ref="K2:M2"/>
    <mergeCell ref="N2:P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opLeftCell="A20" workbookViewId="0">
      <selection activeCell="H24" sqref="H24"/>
    </sheetView>
  </sheetViews>
  <sheetFormatPr defaultColWidth="9" defaultRowHeight="12.75"/>
  <cols>
    <col min="1" max="1" width="5.85546875" style="380" bestFit="1" customWidth="1"/>
    <col min="2" max="2" width="17.140625" style="380" customWidth="1"/>
    <col min="3" max="3" width="41.85546875" style="380" customWidth="1"/>
    <col min="4" max="4" width="13.7109375" style="380" bestFit="1" customWidth="1"/>
    <col min="5" max="5" width="6.7109375" style="380" bestFit="1" customWidth="1"/>
    <col min="6" max="6" width="14.28515625" style="380" customWidth="1"/>
    <col min="7" max="8" width="15.140625" style="380" customWidth="1"/>
    <col min="9" max="9" width="10.7109375" style="380" customWidth="1"/>
    <col min="10" max="16384" width="9" style="380"/>
  </cols>
  <sheetData>
    <row r="1" spans="1:9" s="1647" customFormat="1" ht="18.75" hidden="1">
      <c r="A1" s="2445" t="s">
        <v>1170</v>
      </c>
      <c r="B1" s="2445"/>
      <c r="C1" s="2445"/>
      <c r="D1" s="2445"/>
      <c r="E1" s="2445"/>
      <c r="F1" s="2445"/>
      <c r="G1" s="2445"/>
      <c r="H1" s="2445"/>
      <c r="I1" s="2445"/>
    </row>
    <row r="2" spans="1:9" s="1648" customFormat="1" ht="19.5" hidden="1" thickBot="1">
      <c r="A2" s="2446"/>
      <c r="B2" s="2446"/>
      <c r="C2" s="2446"/>
      <c r="D2" s="2446"/>
      <c r="E2" s="2446"/>
      <c r="F2" s="2446"/>
      <c r="G2" s="2446"/>
      <c r="H2" s="2446"/>
      <c r="I2" s="2446"/>
    </row>
    <row r="3" spans="1:9" s="1" customFormat="1" ht="63.75" hidden="1">
      <c r="A3" s="1649" t="s">
        <v>0</v>
      </c>
      <c r="B3" s="1650" t="s">
        <v>1171</v>
      </c>
      <c r="C3" s="1651" t="s">
        <v>1108</v>
      </c>
      <c r="D3" s="1652" t="s">
        <v>820</v>
      </c>
      <c r="E3" s="1653" t="s">
        <v>1110</v>
      </c>
      <c r="F3" s="1654" t="s">
        <v>1111</v>
      </c>
      <c r="G3" s="1655" t="s">
        <v>1112</v>
      </c>
      <c r="H3" s="1656" t="s">
        <v>1113</v>
      </c>
      <c r="I3" s="1657" t="s">
        <v>1114</v>
      </c>
    </row>
    <row r="4" spans="1:9" s="1" customFormat="1" ht="15" hidden="1">
      <c r="A4" s="1658">
        <v>0</v>
      </c>
      <c r="B4" s="1659"/>
      <c r="C4" s="1660" t="s">
        <v>1116</v>
      </c>
      <c r="D4" s="1661" t="s">
        <v>821</v>
      </c>
      <c r="E4" s="1662"/>
      <c r="F4" s="1663"/>
      <c r="G4" s="1664">
        <v>0</v>
      </c>
      <c r="H4" s="1665">
        <v>44166</v>
      </c>
      <c r="I4" s="1666">
        <v>0</v>
      </c>
    </row>
    <row r="5" spans="1:9" ht="15" hidden="1">
      <c r="A5" s="1667">
        <v>1</v>
      </c>
      <c r="B5" s="1668" t="s">
        <v>1119</v>
      </c>
      <c r="C5" s="1625" t="s">
        <v>1168</v>
      </c>
      <c r="D5" s="1625" t="s">
        <v>1172</v>
      </c>
      <c r="E5" s="1669"/>
      <c r="F5" s="1561"/>
      <c r="G5" s="1670">
        <f>F5/24</f>
        <v>0</v>
      </c>
      <c r="H5" s="1671">
        <f>H4+G5</f>
        <v>44166</v>
      </c>
      <c r="I5" s="1672">
        <f>G5</f>
        <v>0</v>
      </c>
    </row>
    <row r="6" spans="1:9" ht="15.75" hidden="1" customHeight="1">
      <c r="A6" s="1667">
        <f>A5+1</f>
        <v>2</v>
      </c>
      <c r="B6" s="1668" t="s">
        <v>1173</v>
      </c>
      <c r="C6" s="1625" t="s">
        <v>1174</v>
      </c>
      <c r="D6" s="1625" t="s">
        <v>1172</v>
      </c>
      <c r="E6" s="1669"/>
      <c r="F6" s="1561"/>
      <c r="G6" s="1670">
        <f>F6/24</f>
        <v>0</v>
      </c>
      <c r="H6" s="1671">
        <f>H5+G6</f>
        <v>44166</v>
      </c>
      <c r="I6" s="1672">
        <f>I5+G6</f>
        <v>0</v>
      </c>
    </row>
    <row r="7" spans="1:9" ht="15.75" hidden="1" customHeight="1">
      <c r="A7" s="1667">
        <f t="shared" ref="A7:A17" si="0">A6+1</f>
        <v>3</v>
      </c>
      <c r="B7" s="1668" t="s">
        <v>1175</v>
      </c>
      <c r="C7" s="1625" t="s">
        <v>1176</v>
      </c>
      <c r="D7" s="1625" t="s">
        <v>1172</v>
      </c>
      <c r="E7" s="1669"/>
      <c r="F7" s="1568"/>
      <c r="G7" s="1670">
        <f t="shared" ref="G7:G17" si="1">F7/24</f>
        <v>0</v>
      </c>
      <c r="H7" s="1671">
        <f t="shared" ref="H7:H15" si="2">H6+G7</f>
        <v>44166</v>
      </c>
      <c r="I7" s="1672">
        <f t="shared" ref="I7:I15" si="3">I6+G7</f>
        <v>0</v>
      </c>
    </row>
    <row r="8" spans="1:9" ht="15.75" hidden="1" customHeight="1">
      <c r="A8" s="1667">
        <f t="shared" si="0"/>
        <v>4</v>
      </c>
      <c r="B8" s="1673" t="s">
        <v>1119</v>
      </c>
      <c r="C8" s="1674" t="s">
        <v>1165</v>
      </c>
      <c r="D8" s="1625" t="s">
        <v>1172</v>
      </c>
      <c r="E8" s="1669"/>
      <c r="F8" s="1561"/>
      <c r="G8" s="1670">
        <f t="shared" si="1"/>
        <v>0</v>
      </c>
      <c r="H8" s="1671">
        <f t="shared" si="2"/>
        <v>44166</v>
      </c>
      <c r="I8" s="1672">
        <f t="shared" si="3"/>
        <v>0</v>
      </c>
    </row>
    <row r="9" spans="1:9" ht="18.399999999999999" hidden="1" customHeight="1">
      <c r="A9" s="1667">
        <f t="shared" si="0"/>
        <v>5</v>
      </c>
      <c r="B9" s="1673" t="s">
        <v>1177</v>
      </c>
      <c r="C9" s="1625" t="s">
        <v>1166</v>
      </c>
      <c r="D9" s="1625" t="s">
        <v>1172</v>
      </c>
      <c r="E9" s="1669"/>
      <c r="F9" s="1561"/>
      <c r="G9" s="1670">
        <f t="shared" si="1"/>
        <v>0</v>
      </c>
      <c r="H9" s="1671">
        <f t="shared" si="2"/>
        <v>44166</v>
      </c>
      <c r="I9" s="1672">
        <f t="shared" si="3"/>
        <v>0</v>
      </c>
    </row>
    <row r="10" spans="1:9" ht="18.399999999999999" hidden="1" customHeight="1">
      <c r="A10" s="1667">
        <f t="shared" si="0"/>
        <v>6</v>
      </c>
      <c r="B10" s="1673" t="s">
        <v>1177</v>
      </c>
      <c r="C10" s="1675" t="s">
        <v>1178</v>
      </c>
      <c r="D10" s="1625" t="s">
        <v>1172</v>
      </c>
      <c r="E10" s="1669"/>
      <c r="F10" s="1561"/>
      <c r="G10" s="1670">
        <f t="shared" si="1"/>
        <v>0</v>
      </c>
      <c r="H10" s="1671">
        <f t="shared" si="2"/>
        <v>44166</v>
      </c>
      <c r="I10" s="1672">
        <f t="shared" si="3"/>
        <v>0</v>
      </c>
    </row>
    <row r="11" spans="1:9" ht="18.399999999999999" hidden="1" customHeight="1">
      <c r="A11" s="1667">
        <f t="shared" si="0"/>
        <v>7</v>
      </c>
      <c r="B11" s="1673" t="s">
        <v>1167</v>
      </c>
      <c r="C11" s="1570" t="s">
        <v>1179</v>
      </c>
      <c r="D11" s="1625" t="s">
        <v>1172</v>
      </c>
      <c r="E11" s="1669"/>
      <c r="F11" s="1561"/>
      <c r="G11" s="1670">
        <f t="shared" si="1"/>
        <v>0</v>
      </c>
      <c r="H11" s="1671">
        <f t="shared" si="2"/>
        <v>44166</v>
      </c>
      <c r="I11" s="1672">
        <f t="shared" si="3"/>
        <v>0</v>
      </c>
    </row>
    <row r="12" spans="1:9" ht="18.399999999999999" hidden="1" customHeight="1">
      <c r="A12" s="1667">
        <f t="shared" si="0"/>
        <v>8</v>
      </c>
      <c r="B12" s="1668" t="s">
        <v>1175</v>
      </c>
      <c r="C12" s="1625" t="s">
        <v>1176</v>
      </c>
      <c r="D12" s="1625" t="s">
        <v>1172</v>
      </c>
      <c r="E12" s="1669"/>
      <c r="F12" s="1561"/>
      <c r="G12" s="1670">
        <f t="shared" si="1"/>
        <v>0</v>
      </c>
      <c r="H12" s="1671">
        <f t="shared" si="2"/>
        <v>44166</v>
      </c>
      <c r="I12" s="1672">
        <f t="shared" si="3"/>
        <v>0</v>
      </c>
    </row>
    <row r="13" spans="1:9" ht="15" hidden="1">
      <c r="A13" s="1667">
        <f t="shared" si="0"/>
        <v>9</v>
      </c>
      <c r="B13" s="1668" t="s">
        <v>1180</v>
      </c>
      <c r="C13" s="1625" t="s">
        <v>1181</v>
      </c>
      <c r="D13" s="1625" t="s">
        <v>1172</v>
      </c>
      <c r="E13" s="1669"/>
      <c r="F13" s="1561"/>
      <c r="G13" s="1670">
        <f t="shared" si="1"/>
        <v>0</v>
      </c>
      <c r="H13" s="1671">
        <f t="shared" si="2"/>
        <v>44166</v>
      </c>
      <c r="I13" s="1672">
        <f t="shared" si="3"/>
        <v>0</v>
      </c>
    </row>
    <row r="14" spans="1:9" ht="15" hidden="1">
      <c r="A14" s="1667">
        <f t="shared" si="0"/>
        <v>10</v>
      </c>
      <c r="B14" s="1668" t="s">
        <v>1182</v>
      </c>
      <c r="C14" s="1625" t="s">
        <v>1183</v>
      </c>
      <c r="D14" s="1625" t="s">
        <v>1172</v>
      </c>
      <c r="E14" s="1669"/>
      <c r="F14" s="1561"/>
      <c r="G14" s="1670">
        <f t="shared" si="1"/>
        <v>0</v>
      </c>
      <c r="H14" s="1671">
        <f t="shared" si="2"/>
        <v>44166</v>
      </c>
      <c r="I14" s="1672">
        <f t="shared" si="3"/>
        <v>0</v>
      </c>
    </row>
    <row r="15" spans="1:9" ht="15" hidden="1">
      <c r="A15" s="1667">
        <f t="shared" si="0"/>
        <v>11</v>
      </c>
      <c r="B15" s="1668" t="s">
        <v>1121</v>
      </c>
      <c r="C15" s="1625" t="s">
        <v>1121</v>
      </c>
      <c r="D15" s="1625" t="s">
        <v>1172</v>
      </c>
      <c r="E15" s="1669"/>
      <c r="F15" s="1561"/>
      <c r="G15" s="1670">
        <f t="shared" si="1"/>
        <v>0</v>
      </c>
      <c r="H15" s="1671">
        <f t="shared" si="2"/>
        <v>44166</v>
      </c>
      <c r="I15" s="1672">
        <f t="shared" si="3"/>
        <v>0</v>
      </c>
    </row>
    <row r="16" spans="1:9" ht="14.45" hidden="1" customHeight="1">
      <c r="A16" s="1667">
        <f>A15+1</f>
        <v>12</v>
      </c>
      <c r="B16" s="1668" t="s">
        <v>1175</v>
      </c>
      <c r="C16" s="1625" t="s">
        <v>1163</v>
      </c>
      <c r="D16" s="1625" t="s">
        <v>1172</v>
      </c>
      <c r="E16" s="1669"/>
      <c r="F16" s="1561"/>
      <c r="G16" s="1670">
        <f t="shared" si="1"/>
        <v>0</v>
      </c>
      <c r="H16" s="1671">
        <f>H15+G16</f>
        <v>44166</v>
      </c>
      <c r="I16" s="1672">
        <f>I15+G16</f>
        <v>0</v>
      </c>
    </row>
    <row r="17" spans="1:9" ht="15" hidden="1">
      <c r="A17" s="1667">
        <f t="shared" si="0"/>
        <v>13</v>
      </c>
      <c r="B17" s="1668" t="s">
        <v>1173</v>
      </c>
      <c r="C17" s="1625" t="s">
        <v>1123</v>
      </c>
      <c r="D17" s="1625" t="s">
        <v>1172</v>
      </c>
      <c r="E17" s="1669"/>
      <c r="F17" s="1561"/>
      <c r="G17" s="1670">
        <f t="shared" si="1"/>
        <v>0</v>
      </c>
      <c r="H17" s="1671">
        <f>H16+G17</f>
        <v>44166</v>
      </c>
      <c r="I17" s="1672">
        <f>I16+G17</f>
        <v>0</v>
      </c>
    </row>
    <row r="18" spans="1:9" ht="15.75" hidden="1" thickBot="1">
      <c r="A18" s="1676">
        <f>A17+1</f>
        <v>14</v>
      </c>
      <c r="B18" s="1677" t="s">
        <v>1184</v>
      </c>
      <c r="C18" s="1678" t="s">
        <v>1185</v>
      </c>
      <c r="D18" s="1679" t="s">
        <v>1158</v>
      </c>
      <c r="E18" s="1680"/>
      <c r="F18" s="1681">
        <f>SUM(F4:F17)*5/100</f>
        <v>0</v>
      </c>
      <c r="G18" s="1682">
        <f>F18/24</f>
        <v>0</v>
      </c>
      <c r="H18" s="1683">
        <f>H17+G18</f>
        <v>44166</v>
      </c>
      <c r="I18" s="1684">
        <f>I17+G18</f>
        <v>0</v>
      </c>
    </row>
    <row r="19" spans="1:9" ht="15.75" hidden="1" thickBot="1">
      <c r="A19" s="1685"/>
      <c r="B19" s="1686"/>
      <c r="C19" s="1687" t="s">
        <v>183</v>
      </c>
      <c r="D19" s="1688"/>
      <c r="E19" s="1689"/>
      <c r="F19" s="1690"/>
      <c r="G19" s="1691">
        <f>SUM(G4:G18)</f>
        <v>0</v>
      </c>
      <c r="H19" s="1692"/>
      <c r="I19" s="1693"/>
    </row>
    <row r="20" spans="1:9">
      <c r="A20" s="2445" t="s">
        <v>1186</v>
      </c>
      <c r="B20" s="2445"/>
      <c r="C20" s="2445"/>
      <c r="D20" s="2445"/>
      <c r="E20" s="2445"/>
      <c r="F20" s="2445"/>
      <c r="G20" s="2445"/>
      <c r="H20" s="2445"/>
      <c r="I20" s="2445"/>
    </row>
    <row r="21" spans="1:9" ht="13.5" thickBot="1">
      <c r="A21" s="2447"/>
      <c r="B21" s="2447"/>
      <c r="C21" s="2447"/>
      <c r="D21" s="2447"/>
      <c r="E21" s="2447"/>
      <c r="F21" s="2447"/>
      <c r="G21" s="2447"/>
      <c r="H21" s="2447"/>
      <c r="I21" s="2447"/>
    </row>
    <row r="22" spans="1:9" ht="64.5" thickBot="1">
      <c r="A22" s="1649" t="s">
        <v>0</v>
      </c>
      <c r="B22" s="1650" t="s">
        <v>1171</v>
      </c>
      <c r="C22" s="1651" t="s">
        <v>1108</v>
      </c>
      <c r="D22" s="1652" t="s">
        <v>820</v>
      </c>
      <c r="E22" s="1653" t="s">
        <v>1110</v>
      </c>
      <c r="F22" s="1654" t="s">
        <v>1111</v>
      </c>
      <c r="G22" s="1655" t="s">
        <v>1112</v>
      </c>
      <c r="H22" s="1656" t="s">
        <v>1113</v>
      </c>
      <c r="I22" s="1657" t="s">
        <v>1114</v>
      </c>
    </row>
    <row r="23" spans="1:9" ht="15">
      <c r="A23" s="1658">
        <v>0</v>
      </c>
      <c r="B23" s="1659"/>
      <c r="C23" s="1660" t="s">
        <v>1116</v>
      </c>
      <c r="D23" s="1661" t="s">
        <v>821</v>
      </c>
      <c r="E23" s="1662"/>
      <c r="F23" s="1663"/>
      <c r="G23" s="1664">
        <v>0</v>
      </c>
      <c r="H23" s="1665" t="e">
        <f>#REF!</f>
        <v>#REF!</v>
      </c>
      <c r="I23" s="1666">
        <v>0</v>
      </c>
    </row>
    <row r="24" spans="1:9" ht="15">
      <c r="A24" s="1667">
        <v>1</v>
      </c>
      <c r="B24" s="1668" t="s">
        <v>1119</v>
      </c>
      <c r="C24" s="1625" t="s">
        <v>1168</v>
      </c>
      <c r="D24" s="1625" t="s">
        <v>1172</v>
      </c>
      <c r="E24" s="1669"/>
      <c r="F24" s="1561">
        <v>2</v>
      </c>
      <c r="G24" s="1670">
        <f>F24/24</f>
        <v>8.3333333333333329E-2</v>
      </c>
      <c r="H24" s="1671" t="e">
        <f>H23+G24</f>
        <v>#REF!</v>
      </c>
      <c r="I24" s="1672">
        <f>G24</f>
        <v>8.3333333333333329E-2</v>
      </c>
    </row>
    <row r="25" spans="1:9" ht="15">
      <c r="A25" s="1667">
        <f>A24+1</f>
        <v>2</v>
      </c>
      <c r="B25" s="1668" t="s">
        <v>1173</v>
      </c>
      <c r="C25" s="1625" t="s">
        <v>1174</v>
      </c>
      <c r="D25" s="1625" t="s">
        <v>1172</v>
      </c>
      <c r="E25" s="1669"/>
      <c r="F25" s="1561">
        <v>3</v>
      </c>
      <c r="G25" s="1670">
        <f>F25/24</f>
        <v>0.125</v>
      </c>
      <c r="H25" s="1671" t="e">
        <f>H24+G25</f>
        <v>#REF!</v>
      </c>
      <c r="I25" s="1672">
        <f>I24+G25</f>
        <v>0.20833333333333331</v>
      </c>
    </row>
    <row r="26" spans="1:9" ht="15">
      <c r="A26" s="1667">
        <f t="shared" ref="A26:A36" si="4">A25+1</f>
        <v>3</v>
      </c>
      <c r="B26" s="1668" t="s">
        <v>1175</v>
      </c>
      <c r="C26" s="1625" t="s">
        <v>1176</v>
      </c>
      <c r="D26" s="1625" t="s">
        <v>1172</v>
      </c>
      <c r="E26" s="1669"/>
      <c r="F26" s="1568">
        <v>16</v>
      </c>
      <c r="G26" s="1670">
        <f t="shared" ref="G26:G36" si="5">F26/24</f>
        <v>0.66666666666666663</v>
      </c>
      <c r="H26" s="1671" t="e">
        <f t="shared" ref="H26:H37" si="6">H25+G26</f>
        <v>#REF!</v>
      </c>
      <c r="I26" s="1672">
        <f t="shared" ref="I26:I37" si="7">I25+G26</f>
        <v>0.875</v>
      </c>
    </row>
    <row r="27" spans="1:9" ht="15">
      <c r="A27" s="1667">
        <f t="shared" si="4"/>
        <v>4</v>
      </c>
      <c r="B27" s="1673" t="s">
        <v>1119</v>
      </c>
      <c r="C27" s="1674" t="s">
        <v>1165</v>
      </c>
      <c r="D27" s="1625" t="s">
        <v>1172</v>
      </c>
      <c r="E27" s="1669"/>
      <c r="F27" s="1561">
        <v>1</v>
      </c>
      <c r="G27" s="1670">
        <f t="shared" si="5"/>
        <v>4.1666666666666664E-2</v>
      </c>
      <c r="H27" s="1671" t="e">
        <f t="shared" si="6"/>
        <v>#REF!</v>
      </c>
      <c r="I27" s="1672">
        <f t="shared" si="7"/>
        <v>0.91666666666666663</v>
      </c>
    </row>
    <row r="28" spans="1:9" ht="15">
      <c r="A28" s="1667">
        <f t="shared" si="4"/>
        <v>5</v>
      </c>
      <c r="B28" s="1673" t="s">
        <v>1177</v>
      </c>
      <c r="C28" s="1625" t="s">
        <v>1166</v>
      </c>
      <c r="D28" s="1625" t="s">
        <v>1172</v>
      </c>
      <c r="E28" s="1669"/>
      <c r="F28" s="1561">
        <v>2</v>
      </c>
      <c r="G28" s="1670">
        <f t="shared" si="5"/>
        <v>8.3333333333333329E-2</v>
      </c>
      <c r="H28" s="1671" t="e">
        <f t="shared" si="6"/>
        <v>#REF!</v>
      </c>
      <c r="I28" s="1672">
        <f t="shared" si="7"/>
        <v>1</v>
      </c>
    </row>
    <row r="29" spans="1:9" ht="15">
      <c r="A29" s="1667">
        <f t="shared" si="4"/>
        <v>6</v>
      </c>
      <c r="B29" s="1673" t="s">
        <v>1177</v>
      </c>
      <c r="C29" s="1675" t="s">
        <v>1178</v>
      </c>
      <c r="D29" s="1625" t="s">
        <v>1172</v>
      </c>
      <c r="E29" s="1669"/>
      <c r="F29" s="1561">
        <v>1</v>
      </c>
      <c r="G29" s="1670">
        <f t="shared" si="5"/>
        <v>4.1666666666666664E-2</v>
      </c>
      <c r="H29" s="1671" t="e">
        <f t="shared" si="6"/>
        <v>#REF!</v>
      </c>
      <c r="I29" s="1672">
        <f t="shared" si="7"/>
        <v>1.0416666666666667</v>
      </c>
    </row>
    <row r="30" spans="1:9" ht="15">
      <c r="A30" s="1667">
        <f t="shared" si="4"/>
        <v>7</v>
      </c>
      <c r="B30" s="1673" t="s">
        <v>1167</v>
      </c>
      <c r="C30" s="1570" t="s">
        <v>1179</v>
      </c>
      <c r="D30" s="1625" t="s">
        <v>1172</v>
      </c>
      <c r="E30" s="1669"/>
      <c r="F30" s="1561">
        <v>24</v>
      </c>
      <c r="G30" s="1670">
        <f t="shared" si="5"/>
        <v>1</v>
      </c>
      <c r="H30" s="1671" t="e">
        <f t="shared" si="6"/>
        <v>#REF!</v>
      </c>
      <c r="I30" s="1672">
        <f t="shared" si="7"/>
        <v>2.041666666666667</v>
      </c>
    </row>
    <row r="31" spans="1:9" ht="15">
      <c r="A31" s="1667">
        <f t="shared" si="4"/>
        <v>8</v>
      </c>
      <c r="B31" s="1668" t="s">
        <v>1175</v>
      </c>
      <c r="C31" s="1625" t="s">
        <v>1176</v>
      </c>
      <c r="D31" s="1625" t="s">
        <v>1172</v>
      </c>
      <c r="E31" s="1669"/>
      <c r="F31" s="1561">
        <v>16</v>
      </c>
      <c r="G31" s="1670">
        <f t="shared" si="5"/>
        <v>0.66666666666666663</v>
      </c>
      <c r="H31" s="1671" t="e">
        <f t="shared" si="6"/>
        <v>#REF!</v>
      </c>
      <c r="I31" s="1672">
        <f t="shared" si="7"/>
        <v>2.7083333333333335</v>
      </c>
    </row>
    <row r="32" spans="1:9" ht="15">
      <c r="A32" s="1667">
        <f t="shared" si="4"/>
        <v>9</v>
      </c>
      <c r="B32" s="1668" t="s">
        <v>1180</v>
      </c>
      <c r="C32" s="1625" t="s">
        <v>1181</v>
      </c>
      <c r="D32" s="1625" t="s">
        <v>1172</v>
      </c>
      <c r="E32" s="1669"/>
      <c r="F32" s="1561">
        <v>1</v>
      </c>
      <c r="G32" s="1670">
        <f t="shared" si="5"/>
        <v>4.1666666666666664E-2</v>
      </c>
      <c r="H32" s="1671" t="e">
        <f t="shared" si="6"/>
        <v>#REF!</v>
      </c>
      <c r="I32" s="1672">
        <f t="shared" si="7"/>
        <v>2.75</v>
      </c>
    </row>
    <row r="33" spans="1:9" ht="15">
      <c r="A33" s="1667">
        <f t="shared" si="4"/>
        <v>10</v>
      </c>
      <c r="B33" s="1668" t="s">
        <v>1182</v>
      </c>
      <c r="C33" s="1625" t="s">
        <v>1183</v>
      </c>
      <c r="D33" s="1625" t="s">
        <v>1172</v>
      </c>
      <c r="E33" s="1669"/>
      <c r="F33" s="1561">
        <v>40</v>
      </c>
      <c r="G33" s="1670">
        <f t="shared" si="5"/>
        <v>1.6666666666666667</v>
      </c>
      <c r="H33" s="1671" t="e">
        <f t="shared" si="6"/>
        <v>#REF!</v>
      </c>
      <c r="I33" s="1672">
        <f t="shared" si="7"/>
        <v>4.416666666666667</v>
      </c>
    </row>
    <row r="34" spans="1:9" ht="15">
      <c r="A34" s="1667">
        <f t="shared" si="4"/>
        <v>11</v>
      </c>
      <c r="B34" s="1668" t="s">
        <v>1121</v>
      </c>
      <c r="C34" s="1625" t="s">
        <v>1121</v>
      </c>
      <c r="D34" s="1625" t="s">
        <v>1172</v>
      </c>
      <c r="E34" s="1669"/>
      <c r="F34" s="1561">
        <v>4</v>
      </c>
      <c r="G34" s="1670">
        <f t="shared" si="5"/>
        <v>0.16666666666666666</v>
      </c>
      <c r="H34" s="1671" t="e">
        <f t="shared" si="6"/>
        <v>#REF!</v>
      </c>
      <c r="I34" s="1672">
        <f t="shared" si="7"/>
        <v>4.5833333333333339</v>
      </c>
    </row>
    <row r="35" spans="1:9" ht="15">
      <c r="A35" s="1667">
        <f>A34+1</f>
        <v>12</v>
      </c>
      <c r="B35" s="1668" t="s">
        <v>1175</v>
      </c>
      <c r="C35" s="1625" t="s">
        <v>1163</v>
      </c>
      <c r="D35" s="1625" t="s">
        <v>1172</v>
      </c>
      <c r="E35" s="1669"/>
      <c r="F35" s="1561">
        <v>16</v>
      </c>
      <c r="G35" s="1670">
        <f t="shared" si="5"/>
        <v>0.66666666666666663</v>
      </c>
      <c r="H35" s="1671" t="e">
        <f t="shared" si="6"/>
        <v>#REF!</v>
      </c>
      <c r="I35" s="1672">
        <f t="shared" si="7"/>
        <v>5.2500000000000009</v>
      </c>
    </row>
    <row r="36" spans="1:9" ht="15.75" thickBot="1">
      <c r="A36" s="1667">
        <f t="shared" si="4"/>
        <v>13</v>
      </c>
      <c r="B36" s="1668" t="s">
        <v>1173</v>
      </c>
      <c r="C36" s="1625" t="s">
        <v>1123</v>
      </c>
      <c r="D36" s="1625" t="s">
        <v>1172</v>
      </c>
      <c r="E36" s="1669"/>
      <c r="F36" s="1561">
        <v>3</v>
      </c>
      <c r="G36" s="1670">
        <f t="shared" si="5"/>
        <v>0.125</v>
      </c>
      <c r="H36" s="1671" t="e">
        <f t="shared" si="6"/>
        <v>#REF!</v>
      </c>
      <c r="I36" s="1672">
        <f t="shared" si="7"/>
        <v>5.3750000000000009</v>
      </c>
    </row>
    <row r="37" spans="1:9" ht="15.75" thickBot="1">
      <c r="A37" s="1676">
        <f>A36+1</f>
        <v>14</v>
      </c>
      <c r="B37" s="1677" t="s">
        <v>1184</v>
      </c>
      <c r="C37" s="1678" t="s">
        <v>1185</v>
      </c>
      <c r="D37" s="1679" t="s">
        <v>1158</v>
      </c>
      <c r="E37" s="1680"/>
      <c r="F37" s="1681">
        <f>SUM(F23:F36)*5/100</f>
        <v>6.45</v>
      </c>
      <c r="G37" s="1682">
        <f>F37/24</f>
        <v>0.26874999999999999</v>
      </c>
      <c r="H37" s="1683" t="e">
        <f t="shared" si="6"/>
        <v>#REF!</v>
      </c>
      <c r="I37" s="1684">
        <f t="shared" si="7"/>
        <v>5.6437500000000007</v>
      </c>
    </row>
    <row r="38" spans="1:9" ht="15.75" thickBot="1">
      <c r="A38" s="1685"/>
      <c r="B38" s="1686"/>
      <c r="C38" s="1687" t="s">
        <v>183</v>
      </c>
      <c r="D38" s="1688"/>
      <c r="E38" s="1689"/>
      <c r="F38" s="1690"/>
      <c r="G38" s="1691">
        <f>SUM(G23:G37)</f>
        <v>5.6437500000000007</v>
      </c>
      <c r="H38" s="1692"/>
      <c r="I38" s="1693"/>
    </row>
  </sheetData>
  <mergeCells count="2">
    <mergeCell ref="A1:I2"/>
    <mergeCell ref="A20:I2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09"/>
  <sheetViews>
    <sheetView view="pageBreakPreview" zoomScale="40" zoomScaleNormal="59" zoomScaleSheetLayoutView="40" workbookViewId="0">
      <selection activeCell="C58" sqref="C58"/>
    </sheetView>
  </sheetViews>
  <sheetFormatPr defaultColWidth="9" defaultRowHeight="12.75"/>
  <cols>
    <col min="1" max="1" width="8.28515625" style="1706" customWidth="1"/>
    <col min="2" max="2" width="108.42578125" style="249" customWidth="1"/>
    <col min="3" max="3" width="10.5703125" style="1706" customWidth="1"/>
    <col min="4" max="4" width="15.5703125" style="1706" customWidth="1"/>
    <col min="5" max="16" width="12" style="1706" customWidth="1"/>
    <col min="17" max="20" width="12" style="1758" customWidth="1"/>
    <col min="21" max="22" width="12" style="1706" customWidth="1"/>
    <col min="23" max="25" width="12" style="1758" customWidth="1"/>
    <col min="26" max="31" width="12" style="1706" customWidth="1"/>
    <col min="32" max="32" width="12" style="1758" customWidth="1"/>
    <col min="33" max="35" width="12" style="1706" customWidth="1"/>
    <col min="36" max="76" width="11.7109375" style="1706" customWidth="1"/>
    <col min="77" max="77" width="11.7109375" style="1706" hidden="1" customWidth="1"/>
    <col min="78" max="78" width="10.140625" style="1706" hidden="1" customWidth="1"/>
    <col min="79" max="87" width="8.85546875" style="1706" hidden="1" customWidth="1"/>
    <col min="88" max="88" width="14.28515625" style="1" hidden="1" customWidth="1"/>
    <col min="89" max="89" width="0" style="1" hidden="1" customWidth="1"/>
    <col min="90" max="16384" width="9" style="1"/>
  </cols>
  <sheetData>
    <row r="1" spans="1:88" ht="45.95" customHeight="1">
      <c r="A1" s="2448" t="s">
        <v>490</v>
      </c>
      <c r="B1" s="2449"/>
      <c r="C1" s="2449"/>
      <c r="D1" s="2449"/>
      <c r="E1" s="2449"/>
      <c r="F1" s="2449"/>
      <c r="G1" s="2449"/>
      <c r="H1" s="2449"/>
      <c r="I1" s="2449"/>
      <c r="J1" s="2449"/>
      <c r="K1" s="2449"/>
      <c r="L1" s="2449"/>
      <c r="M1" s="2449"/>
      <c r="N1" s="2449"/>
      <c r="O1" s="2449"/>
      <c r="P1" s="2449"/>
      <c r="Q1" s="2449"/>
      <c r="R1" s="2449"/>
      <c r="S1" s="2449"/>
      <c r="T1" s="2449"/>
      <c r="U1" s="2449"/>
      <c r="V1" s="2449"/>
      <c r="W1" s="2449"/>
      <c r="X1" s="2449"/>
      <c r="Y1" s="2449"/>
      <c r="Z1" s="2449"/>
      <c r="AA1" s="2449"/>
      <c r="AB1" s="2449"/>
      <c r="AC1" s="2449"/>
      <c r="AD1" s="2449"/>
      <c r="AE1" s="2449"/>
      <c r="AF1" s="2449"/>
      <c r="AG1" s="2449"/>
      <c r="AH1" s="2449"/>
      <c r="AI1" s="2449"/>
      <c r="AJ1" s="2449"/>
      <c r="AK1" s="2449"/>
      <c r="AL1" s="2449"/>
      <c r="AM1" s="2449"/>
      <c r="AN1" s="2449"/>
      <c r="AO1" s="2449"/>
      <c r="AP1" s="2449"/>
      <c r="AQ1" s="2449"/>
      <c r="AR1" s="2449"/>
      <c r="AS1" s="2449"/>
      <c r="AT1" s="2449"/>
      <c r="AU1" s="2449"/>
      <c r="AV1" s="2449"/>
      <c r="AW1" s="2449"/>
      <c r="AX1" s="2449"/>
      <c r="AY1" s="2449"/>
      <c r="AZ1" s="2449"/>
      <c r="BA1" s="2449"/>
      <c r="BB1" s="2449"/>
      <c r="BC1" s="2449"/>
      <c r="BD1" s="2449"/>
      <c r="BE1" s="2449"/>
      <c r="BF1" s="2449"/>
      <c r="BG1" s="2449"/>
      <c r="BH1" s="2449"/>
      <c r="BI1" s="2449"/>
      <c r="BJ1" s="2449"/>
      <c r="BK1" s="2449"/>
      <c r="BL1" s="2449"/>
      <c r="BM1" s="2449"/>
      <c r="BN1" s="2449"/>
      <c r="BO1" s="2449"/>
      <c r="BP1" s="2449"/>
      <c r="BQ1" s="2449"/>
      <c r="BR1" s="2449"/>
      <c r="BS1" s="2449"/>
      <c r="BT1" s="2449"/>
      <c r="BU1" s="2449"/>
      <c r="BV1" s="2449"/>
      <c r="BW1" s="2449"/>
      <c r="BX1" s="2449"/>
      <c r="BY1" s="2449"/>
      <c r="BZ1" s="2449"/>
      <c r="CA1" s="2449"/>
      <c r="CB1" s="2449"/>
      <c r="CC1" s="2449"/>
      <c r="CD1" s="2449"/>
      <c r="CE1" s="2449"/>
      <c r="CF1" s="2449"/>
      <c r="CG1" s="2449"/>
      <c r="CH1" s="2449"/>
      <c r="CI1" s="2449"/>
      <c r="CJ1" s="2450"/>
    </row>
    <row r="2" spans="1:88" ht="45.95" customHeight="1" thickBot="1">
      <c r="A2" s="2451" t="s">
        <v>491</v>
      </c>
      <c r="B2" s="2452"/>
      <c r="C2" s="2452"/>
      <c r="D2" s="2452"/>
      <c r="E2" s="2452"/>
      <c r="F2" s="2452"/>
      <c r="G2" s="2452"/>
      <c r="H2" s="2452"/>
      <c r="I2" s="2452"/>
      <c r="J2" s="2452"/>
      <c r="K2" s="2452"/>
      <c r="L2" s="2452"/>
      <c r="M2" s="2452"/>
      <c r="N2" s="2452"/>
      <c r="O2" s="2452"/>
      <c r="P2" s="2452"/>
      <c r="Q2" s="2452"/>
      <c r="R2" s="2452"/>
      <c r="S2" s="2452"/>
      <c r="T2" s="2452"/>
      <c r="U2" s="2452"/>
      <c r="V2" s="2452"/>
      <c r="W2" s="2452"/>
      <c r="X2" s="2452"/>
      <c r="Y2" s="2452"/>
      <c r="Z2" s="2452"/>
      <c r="AA2" s="2452"/>
      <c r="AB2" s="2452"/>
      <c r="AC2" s="2452"/>
      <c r="AD2" s="2452"/>
      <c r="AE2" s="2452"/>
      <c r="AF2" s="2452"/>
      <c r="AG2" s="2452"/>
      <c r="AH2" s="2452"/>
      <c r="AI2" s="2452"/>
      <c r="AJ2" s="2452"/>
      <c r="AK2" s="2452"/>
      <c r="AL2" s="2452"/>
      <c r="AM2" s="2452"/>
      <c r="AN2" s="2452"/>
      <c r="AO2" s="2452"/>
      <c r="AP2" s="2452"/>
      <c r="AQ2" s="2452"/>
      <c r="AR2" s="2452"/>
      <c r="AS2" s="2452"/>
      <c r="AT2" s="2452"/>
      <c r="AU2" s="2452"/>
      <c r="AV2" s="2452"/>
      <c r="AW2" s="2452"/>
      <c r="AX2" s="2452"/>
      <c r="AY2" s="2452"/>
      <c r="AZ2" s="2452"/>
      <c r="BA2" s="2452"/>
      <c r="BB2" s="2452"/>
      <c r="BC2" s="2452"/>
      <c r="BD2" s="2452"/>
      <c r="BE2" s="2452"/>
      <c r="BF2" s="2452"/>
      <c r="BG2" s="2452"/>
      <c r="BH2" s="2452"/>
      <c r="BI2" s="2452"/>
      <c r="BJ2" s="2452"/>
      <c r="BK2" s="2452"/>
      <c r="BL2" s="2452"/>
      <c r="BM2" s="2452"/>
      <c r="BN2" s="2452"/>
      <c r="BO2" s="2452"/>
      <c r="BP2" s="2452"/>
      <c r="BQ2" s="2452"/>
      <c r="BR2" s="2452"/>
      <c r="BS2" s="2452"/>
      <c r="BT2" s="2452"/>
      <c r="BU2" s="2452"/>
      <c r="BV2" s="2452"/>
      <c r="BW2" s="2452"/>
      <c r="BX2" s="2452"/>
      <c r="BY2" s="2452"/>
      <c r="BZ2" s="2452"/>
      <c r="CA2" s="2452"/>
      <c r="CB2" s="2452"/>
      <c r="CC2" s="2452"/>
      <c r="CD2" s="2452"/>
      <c r="CE2" s="2452"/>
      <c r="CF2" s="2452"/>
      <c r="CG2" s="2452"/>
      <c r="CH2" s="2452"/>
      <c r="CI2" s="2452"/>
      <c r="CJ2" s="2453"/>
    </row>
    <row r="3" spans="1:88" ht="45.95" customHeight="1">
      <c r="A3" s="2454" t="s">
        <v>538</v>
      </c>
      <c r="B3" s="2455"/>
      <c r="C3" s="2455"/>
      <c r="D3" s="2455"/>
      <c r="E3" s="2455"/>
      <c r="F3" s="2455"/>
      <c r="G3" s="2455"/>
      <c r="H3" s="2455"/>
      <c r="I3" s="2455"/>
      <c r="J3" s="2455"/>
      <c r="K3" s="2455"/>
      <c r="L3" s="2455"/>
      <c r="M3" s="2455"/>
      <c r="N3" s="2455"/>
      <c r="O3" s="2455"/>
      <c r="P3" s="2455"/>
      <c r="Q3" s="2455"/>
      <c r="R3" s="2455"/>
      <c r="S3" s="2455"/>
      <c r="T3" s="2455"/>
      <c r="U3" s="2455"/>
      <c r="V3" s="2455"/>
      <c r="W3" s="2455"/>
      <c r="X3" s="2455"/>
      <c r="Y3" s="2455"/>
      <c r="Z3" s="2455"/>
      <c r="AA3" s="2455"/>
      <c r="AB3" s="2455"/>
      <c r="AC3" s="2455"/>
      <c r="AD3" s="2455"/>
      <c r="AE3" s="2455"/>
      <c r="AF3" s="2455"/>
      <c r="AG3" s="2455"/>
      <c r="AH3" s="2455"/>
      <c r="AI3" s="2455"/>
      <c r="AJ3" s="2455"/>
      <c r="AK3" s="2455"/>
      <c r="AL3" s="2455"/>
      <c r="AM3" s="2455"/>
      <c r="AN3" s="2455"/>
      <c r="AO3" s="2455"/>
      <c r="AP3" s="2455"/>
      <c r="AQ3" s="2455"/>
      <c r="AR3" s="2455"/>
      <c r="AS3" s="2455"/>
      <c r="AT3" s="2455"/>
      <c r="AU3" s="2455"/>
      <c r="AV3" s="2455"/>
      <c r="AW3" s="2455"/>
      <c r="AX3" s="2455"/>
      <c r="AY3" s="2455"/>
      <c r="AZ3" s="2455"/>
      <c r="BA3" s="2455"/>
      <c r="BB3" s="2455"/>
      <c r="BC3" s="2455"/>
      <c r="BD3" s="2455"/>
      <c r="BE3" s="2455"/>
      <c r="BF3" s="2455"/>
      <c r="BG3" s="2455"/>
      <c r="BH3" s="2455"/>
      <c r="BI3" s="2455"/>
      <c r="BJ3" s="2455"/>
      <c r="BK3" s="2455"/>
      <c r="BL3" s="2455"/>
      <c r="BM3" s="2455"/>
      <c r="BN3" s="2455"/>
      <c r="BO3" s="2455"/>
      <c r="BP3" s="2455"/>
      <c r="BQ3" s="2455"/>
      <c r="BR3" s="2455"/>
      <c r="BS3" s="2455"/>
      <c r="BT3" s="2455"/>
      <c r="BU3" s="2455"/>
      <c r="BV3" s="2455"/>
      <c r="BW3" s="2455"/>
      <c r="BX3" s="2455"/>
      <c r="BY3" s="2455"/>
      <c r="BZ3" s="2455"/>
      <c r="CA3" s="2455"/>
      <c r="CB3" s="2455"/>
      <c r="CC3" s="2455"/>
      <c r="CD3" s="2455"/>
      <c r="CE3" s="2455"/>
      <c r="CF3" s="2455"/>
      <c r="CG3" s="2455"/>
      <c r="CH3" s="2455"/>
      <c r="CI3" s="2455"/>
      <c r="CJ3" s="2456"/>
    </row>
    <row r="4" spans="1:88" ht="96.95" customHeight="1">
      <c r="A4" s="1257" t="s">
        <v>455</v>
      </c>
      <c r="B4" s="1275" t="s">
        <v>188</v>
      </c>
      <c r="C4" s="1707" t="s">
        <v>493</v>
      </c>
      <c r="D4" s="1707" t="s">
        <v>494</v>
      </c>
      <c r="E4" s="1708" t="s">
        <v>495</v>
      </c>
      <c r="F4" s="1707">
        <f t="shared" ref="F4:BV4" si="0">G4-1</f>
        <v>-68</v>
      </c>
      <c r="G4" s="1707">
        <f t="shared" si="0"/>
        <v>-67</v>
      </c>
      <c r="H4" s="1707">
        <f t="shared" si="0"/>
        <v>-66</v>
      </c>
      <c r="I4" s="1707">
        <f t="shared" si="0"/>
        <v>-65</v>
      </c>
      <c r="J4" s="1707">
        <f t="shared" si="0"/>
        <v>-64</v>
      </c>
      <c r="K4" s="1707">
        <f t="shared" si="0"/>
        <v>-63</v>
      </c>
      <c r="L4" s="1707">
        <f t="shared" si="0"/>
        <v>-62</v>
      </c>
      <c r="M4" s="1707">
        <f t="shared" si="0"/>
        <v>-61</v>
      </c>
      <c r="N4" s="1707">
        <f t="shared" si="0"/>
        <v>-60</v>
      </c>
      <c r="O4" s="1707">
        <f t="shared" si="0"/>
        <v>-59</v>
      </c>
      <c r="P4" s="1707">
        <f t="shared" ref="P4" si="1">Q4-1</f>
        <v>-58</v>
      </c>
      <c r="Q4" s="1707">
        <f t="shared" ref="Q4" si="2">R4-1</f>
        <v>-57</v>
      </c>
      <c r="R4" s="1707">
        <f t="shared" ref="R4" si="3">S4-1</f>
        <v>-56</v>
      </c>
      <c r="S4" s="1707">
        <f t="shared" ref="S4" si="4">T4-1</f>
        <v>-55</v>
      </c>
      <c r="T4" s="1707">
        <f t="shared" ref="T4" si="5">U4-1</f>
        <v>-54</v>
      </c>
      <c r="U4" s="1707">
        <f t="shared" ref="U4" si="6">V4-1</f>
        <v>-53</v>
      </c>
      <c r="V4" s="1707">
        <f t="shared" ref="V4" si="7">W4-1</f>
        <v>-52</v>
      </c>
      <c r="W4" s="1707">
        <f t="shared" ref="W4" si="8">X4-1</f>
        <v>-51</v>
      </c>
      <c r="X4" s="1707">
        <f t="shared" ref="X4" si="9">Y4-1</f>
        <v>-50</v>
      </c>
      <c r="Y4" s="1707">
        <f t="shared" ref="Y4" si="10">Z4-1</f>
        <v>-49</v>
      </c>
      <c r="Z4" s="1707">
        <f t="shared" ref="Z4" si="11">AA4-1</f>
        <v>-48</v>
      </c>
      <c r="AA4" s="1707">
        <f t="shared" ref="AA4" si="12">AB4-1</f>
        <v>-47</v>
      </c>
      <c r="AB4" s="1707">
        <f t="shared" ref="AB4" si="13">AC4-1</f>
        <v>-46</v>
      </c>
      <c r="AC4" s="1707">
        <f t="shared" ref="AC4" si="14">AD4-1</f>
        <v>-45</v>
      </c>
      <c r="AD4" s="1707">
        <f t="shared" ref="AD4" si="15">AE4-1</f>
        <v>-44</v>
      </c>
      <c r="AE4" s="1707">
        <f t="shared" ref="AE4" si="16">AF4-1</f>
        <v>-43</v>
      </c>
      <c r="AF4" s="1707">
        <f t="shared" ref="AF4" si="17">AG4-1</f>
        <v>-42</v>
      </c>
      <c r="AG4" s="1707">
        <f t="shared" ref="AG4" si="18">AH4-1</f>
        <v>-41</v>
      </c>
      <c r="AH4" s="1707">
        <f t="shared" ref="AH4" si="19">AI4-1</f>
        <v>-40</v>
      </c>
      <c r="AI4" s="1707">
        <f t="shared" si="0"/>
        <v>-39</v>
      </c>
      <c r="AJ4" s="1707">
        <f t="shared" si="0"/>
        <v>-38</v>
      </c>
      <c r="AK4" s="1707">
        <f t="shared" si="0"/>
        <v>-37</v>
      </c>
      <c r="AL4" s="1707">
        <f t="shared" si="0"/>
        <v>-36</v>
      </c>
      <c r="AM4" s="1707">
        <f t="shared" si="0"/>
        <v>-35</v>
      </c>
      <c r="AN4" s="1707">
        <f t="shared" si="0"/>
        <v>-34</v>
      </c>
      <c r="AO4" s="1707">
        <f t="shared" si="0"/>
        <v>-33</v>
      </c>
      <c r="AP4" s="1707">
        <f t="shared" si="0"/>
        <v>-32</v>
      </c>
      <c r="AQ4" s="1707">
        <f t="shared" si="0"/>
        <v>-31</v>
      </c>
      <c r="AR4" s="1707">
        <f t="shared" si="0"/>
        <v>-30</v>
      </c>
      <c r="AS4" s="1707">
        <f t="shared" si="0"/>
        <v>-29</v>
      </c>
      <c r="AT4" s="1707">
        <f t="shared" si="0"/>
        <v>-28</v>
      </c>
      <c r="AU4" s="1707">
        <f t="shared" si="0"/>
        <v>-27</v>
      </c>
      <c r="AV4" s="1707">
        <f t="shared" si="0"/>
        <v>-26</v>
      </c>
      <c r="AW4" s="1707">
        <f t="shared" si="0"/>
        <v>-25</v>
      </c>
      <c r="AX4" s="1707">
        <f t="shared" si="0"/>
        <v>-24</v>
      </c>
      <c r="AY4" s="1707">
        <f t="shared" si="0"/>
        <v>-23</v>
      </c>
      <c r="AZ4" s="1707">
        <f t="shared" si="0"/>
        <v>-22</v>
      </c>
      <c r="BA4" s="1707">
        <f t="shared" si="0"/>
        <v>-21</v>
      </c>
      <c r="BB4" s="1707">
        <f t="shared" si="0"/>
        <v>-20</v>
      </c>
      <c r="BC4" s="1707">
        <f t="shared" si="0"/>
        <v>-19</v>
      </c>
      <c r="BD4" s="1707">
        <f t="shared" si="0"/>
        <v>-18</v>
      </c>
      <c r="BE4" s="1707">
        <f t="shared" si="0"/>
        <v>-17</v>
      </c>
      <c r="BF4" s="1707">
        <f t="shared" si="0"/>
        <v>-16</v>
      </c>
      <c r="BG4" s="1707">
        <f t="shared" si="0"/>
        <v>-15</v>
      </c>
      <c r="BH4" s="1707">
        <f t="shared" si="0"/>
        <v>-14</v>
      </c>
      <c r="BI4" s="1707">
        <f t="shared" si="0"/>
        <v>-13</v>
      </c>
      <c r="BJ4" s="1707">
        <f>BL4-1</f>
        <v>-12</v>
      </c>
      <c r="BK4" s="1707">
        <f t="shared" ref="BK4:BL4" si="20">BM4-1</f>
        <v>-12</v>
      </c>
      <c r="BL4" s="1707">
        <f t="shared" si="20"/>
        <v>-11</v>
      </c>
      <c r="BM4" s="1707">
        <f t="shared" si="0"/>
        <v>-11</v>
      </c>
      <c r="BN4" s="1707">
        <f t="shared" si="0"/>
        <v>-10</v>
      </c>
      <c r="BO4" s="1707">
        <f t="shared" si="0"/>
        <v>-9</v>
      </c>
      <c r="BP4" s="1707">
        <f t="shared" si="0"/>
        <v>-8</v>
      </c>
      <c r="BQ4" s="1707">
        <f t="shared" si="0"/>
        <v>-7</v>
      </c>
      <c r="BR4" s="1707">
        <f t="shared" si="0"/>
        <v>-6</v>
      </c>
      <c r="BS4" s="1707">
        <f t="shared" si="0"/>
        <v>-5</v>
      </c>
      <c r="BT4" s="1707">
        <f t="shared" si="0"/>
        <v>-4</v>
      </c>
      <c r="BU4" s="1707">
        <f t="shared" si="0"/>
        <v>-3</v>
      </c>
      <c r="BV4" s="1707">
        <f t="shared" si="0"/>
        <v>-2</v>
      </c>
      <c r="BW4" s="1707">
        <f>BX4-1</f>
        <v>-1</v>
      </c>
      <c r="BX4" s="1707">
        <f>'График работ'!I4</f>
        <v>0</v>
      </c>
      <c r="BY4" s="1707">
        <f t="shared" ref="BY4:CJ5" si="21">+BX4+1</f>
        <v>1</v>
      </c>
      <c r="BZ4" s="1707">
        <f t="shared" si="21"/>
        <v>2</v>
      </c>
      <c r="CA4" s="1707">
        <f t="shared" si="21"/>
        <v>3</v>
      </c>
      <c r="CB4" s="1707">
        <f t="shared" si="21"/>
        <v>4</v>
      </c>
      <c r="CC4" s="1707">
        <f t="shared" si="21"/>
        <v>5</v>
      </c>
      <c r="CD4" s="1707">
        <f t="shared" si="21"/>
        <v>6</v>
      </c>
      <c r="CE4" s="1707">
        <f t="shared" si="21"/>
        <v>7</v>
      </c>
      <c r="CF4" s="1707">
        <f t="shared" si="21"/>
        <v>8</v>
      </c>
      <c r="CG4" s="1707">
        <f t="shared" si="21"/>
        <v>9</v>
      </c>
      <c r="CH4" s="1707">
        <f t="shared" si="21"/>
        <v>10</v>
      </c>
      <c r="CI4" s="1707">
        <f t="shared" si="21"/>
        <v>11</v>
      </c>
      <c r="CJ4" s="1709">
        <f t="shared" si="21"/>
        <v>12</v>
      </c>
    </row>
    <row r="5" spans="1:88" s="249" customFormat="1" ht="45.95" customHeight="1">
      <c r="A5" s="1710"/>
      <c r="B5" s="1276" t="s">
        <v>496</v>
      </c>
      <c r="C5" s="1238"/>
      <c r="D5" s="1238"/>
      <c r="E5" s="1711"/>
      <c r="F5" s="1711"/>
      <c r="G5" s="1711"/>
      <c r="H5" s="1711"/>
      <c r="I5" s="1711"/>
      <c r="J5" s="1711"/>
      <c r="K5" s="1711"/>
      <c r="L5" s="1711"/>
      <c r="M5" s="1711"/>
      <c r="N5" s="1711"/>
      <c r="O5" s="1711"/>
      <c r="P5" s="1711"/>
      <c r="Q5" s="1711"/>
      <c r="R5" s="1711"/>
      <c r="S5" s="1711"/>
      <c r="T5" s="1711"/>
      <c r="U5" s="1711"/>
      <c r="V5" s="1711"/>
      <c r="W5" s="1711"/>
      <c r="X5" s="1711"/>
      <c r="Y5" s="1711"/>
      <c r="Z5" s="1711"/>
      <c r="AA5" s="1711"/>
      <c r="AB5" s="1711"/>
      <c r="AC5" s="1711"/>
      <c r="AD5" s="1711"/>
      <c r="AE5" s="1711"/>
      <c r="AF5" s="1711"/>
      <c r="AG5" s="1711"/>
      <c r="AH5" s="1711"/>
      <c r="AI5" s="1711"/>
      <c r="AJ5" s="1711">
        <v>1</v>
      </c>
      <c r="AK5" s="1711">
        <v>2</v>
      </c>
      <c r="AL5" s="1711">
        <v>3</v>
      </c>
      <c r="AM5" s="1711">
        <v>4</v>
      </c>
      <c r="AN5" s="1711">
        <v>5</v>
      </c>
      <c r="AO5" s="1711">
        <v>6</v>
      </c>
      <c r="AP5" s="1711">
        <v>7</v>
      </c>
      <c r="AQ5" s="1711">
        <v>8</v>
      </c>
      <c r="AR5" s="1711">
        <v>9</v>
      </c>
      <c r="AS5" s="1711">
        <f t="shared" ref="AS5:CG5" si="22">+AR5+1</f>
        <v>10</v>
      </c>
      <c r="AT5" s="1711">
        <f t="shared" si="22"/>
        <v>11</v>
      </c>
      <c r="AU5" s="1711">
        <f t="shared" si="22"/>
        <v>12</v>
      </c>
      <c r="AV5" s="1711">
        <f t="shared" si="22"/>
        <v>13</v>
      </c>
      <c r="AW5" s="1711">
        <f t="shared" si="22"/>
        <v>14</v>
      </c>
      <c r="AX5" s="1711">
        <f t="shared" si="22"/>
        <v>15</v>
      </c>
      <c r="AY5" s="1711">
        <f t="shared" si="22"/>
        <v>16</v>
      </c>
      <c r="AZ5" s="1711">
        <f t="shared" si="22"/>
        <v>17</v>
      </c>
      <c r="BA5" s="1711">
        <f t="shared" si="22"/>
        <v>18</v>
      </c>
      <c r="BB5" s="1711">
        <f t="shared" si="22"/>
        <v>19</v>
      </c>
      <c r="BC5" s="1711">
        <f t="shared" si="22"/>
        <v>20</v>
      </c>
      <c r="BD5" s="1711">
        <f t="shared" si="22"/>
        <v>21</v>
      </c>
      <c r="BE5" s="1711">
        <f t="shared" si="22"/>
        <v>22</v>
      </c>
      <c r="BF5" s="1711">
        <f t="shared" si="22"/>
        <v>23</v>
      </c>
      <c r="BG5" s="1711">
        <f t="shared" si="22"/>
        <v>24</v>
      </c>
      <c r="BH5" s="1711">
        <f t="shared" si="22"/>
        <v>25</v>
      </c>
      <c r="BI5" s="1711">
        <f t="shared" si="22"/>
        <v>26</v>
      </c>
      <c r="BJ5" s="1711">
        <f t="shared" si="22"/>
        <v>27</v>
      </c>
      <c r="BK5" s="1711">
        <f t="shared" si="22"/>
        <v>28</v>
      </c>
      <c r="BL5" s="1711">
        <f t="shared" si="22"/>
        <v>29</v>
      </c>
      <c r="BM5" s="1711">
        <f t="shared" si="22"/>
        <v>30</v>
      </c>
      <c r="BN5" s="1711">
        <f t="shared" si="22"/>
        <v>31</v>
      </c>
      <c r="BO5" s="1711">
        <f t="shared" si="22"/>
        <v>32</v>
      </c>
      <c r="BP5" s="1711">
        <f t="shared" si="22"/>
        <v>33</v>
      </c>
      <c r="BQ5" s="1711">
        <f t="shared" si="22"/>
        <v>34</v>
      </c>
      <c r="BR5" s="1711">
        <f t="shared" si="22"/>
        <v>35</v>
      </c>
      <c r="BS5" s="1711">
        <f t="shared" si="22"/>
        <v>36</v>
      </c>
      <c r="BT5" s="1711">
        <f t="shared" si="22"/>
        <v>37</v>
      </c>
      <c r="BU5" s="1711">
        <f t="shared" si="22"/>
        <v>38</v>
      </c>
      <c r="BV5" s="1711">
        <f t="shared" si="22"/>
        <v>39</v>
      </c>
      <c r="BW5" s="1711">
        <f t="shared" si="22"/>
        <v>40</v>
      </c>
      <c r="BX5" s="1711">
        <f t="shared" si="22"/>
        <v>41</v>
      </c>
      <c r="BY5" s="1706">
        <f t="shared" si="22"/>
        <v>42</v>
      </c>
      <c r="BZ5" s="1706">
        <f t="shared" si="22"/>
        <v>43</v>
      </c>
      <c r="CA5" s="1706">
        <f t="shared" si="22"/>
        <v>44</v>
      </c>
      <c r="CB5" s="1706">
        <f t="shared" si="22"/>
        <v>45</v>
      </c>
      <c r="CC5" s="1706">
        <f t="shared" si="22"/>
        <v>46</v>
      </c>
      <c r="CD5" s="1706">
        <f t="shared" si="22"/>
        <v>47</v>
      </c>
      <c r="CE5" s="1706">
        <f t="shared" si="22"/>
        <v>48</v>
      </c>
      <c r="CF5" s="1706">
        <f t="shared" si="22"/>
        <v>49</v>
      </c>
      <c r="CG5" s="1706">
        <f t="shared" si="22"/>
        <v>50</v>
      </c>
      <c r="CH5" s="1706">
        <f t="shared" si="21"/>
        <v>51</v>
      </c>
      <c r="CI5" s="1706">
        <f t="shared" si="21"/>
        <v>52</v>
      </c>
      <c r="CJ5" s="1706">
        <f t="shared" si="21"/>
        <v>53</v>
      </c>
    </row>
    <row r="6" spans="1:88" s="1719" customFormat="1" ht="45.95" customHeight="1">
      <c r="A6" s="1712"/>
      <c r="B6" s="1713" t="s">
        <v>769</v>
      </c>
      <c r="C6" s="1714"/>
      <c r="D6" s="1714"/>
      <c r="E6" s="1715"/>
      <c r="F6" s="1716">
        <v>10</v>
      </c>
      <c r="G6" s="1716">
        <v>20</v>
      </c>
      <c r="H6" s="1716">
        <v>30</v>
      </c>
      <c r="I6" s="1716">
        <v>40</v>
      </c>
      <c r="J6" s="1716">
        <v>50</v>
      </c>
      <c r="K6" s="1716">
        <v>60</v>
      </c>
      <c r="L6" s="1716">
        <v>70</v>
      </c>
      <c r="M6" s="1716">
        <v>80</v>
      </c>
      <c r="N6" s="1716">
        <v>90</v>
      </c>
      <c r="O6" s="1716">
        <v>100</v>
      </c>
      <c r="P6" s="1717"/>
      <c r="Q6" s="1717"/>
      <c r="R6" s="1717"/>
      <c r="S6" s="1717"/>
      <c r="T6" s="1717"/>
      <c r="U6" s="1717"/>
      <c r="V6" s="1717"/>
      <c r="W6" s="1717"/>
      <c r="X6" s="1717"/>
      <c r="Y6" s="1717"/>
      <c r="Z6" s="1717"/>
      <c r="AA6" s="1717"/>
      <c r="AB6" s="1717"/>
      <c r="AC6" s="1717"/>
      <c r="AD6" s="1717"/>
      <c r="AE6" s="1717"/>
      <c r="AF6" s="1717"/>
      <c r="AG6" s="1717"/>
      <c r="AH6" s="1717"/>
      <c r="AI6" s="1717"/>
      <c r="AJ6" s="1715"/>
      <c r="AK6" s="1715"/>
      <c r="AL6" s="1715"/>
      <c r="AM6" s="1715"/>
      <c r="AN6" s="1715"/>
      <c r="AO6" s="1715"/>
      <c r="AP6" s="1715"/>
      <c r="AQ6" s="1715"/>
      <c r="AR6" s="1715"/>
      <c r="AS6" s="1715"/>
      <c r="AT6" s="1715"/>
      <c r="AU6" s="1715"/>
      <c r="AV6" s="1715"/>
      <c r="AW6" s="1715"/>
      <c r="AX6" s="1715"/>
      <c r="AY6" s="1715"/>
      <c r="AZ6" s="1715"/>
      <c r="BA6" s="1715"/>
      <c r="BB6" s="1715"/>
      <c r="BC6" s="1715"/>
      <c r="BD6" s="1715"/>
      <c r="BE6" s="1715"/>
      <c r="BF6" s="1715"/>
      <c r="BG6" s="1715"/>
      <c r="BH6" s="1715"/>
      <c r="BI6" s="1715"/>
      <c r="BJ6" s="1715"/>
      <c r="BK6" s="1715"/>
      <c r="BL6" s="1715"/>
      <c r="BM6" s="1715"/>
      <c r="BN6" s="1715"/>
      <c r="BO6" s="1715"/>
      <c r="BP6" s="1715"/>
      <c r="BQ6" s="1715"/>
      <c r="BR6" s="1715"/>
      <c r="BS6" s="1715"/>
      <c r="BT6" s="1715"/>
      <c r="BU6" s="1715"/>
      <c r="BV6" s="1715"/>
      <c r="BW6" s="1715"/>
      <c r="BX6" s="1715"/>
      <c r="BY6" s="1718"/>
      <c r="BZ6" s="1718"/>
      <c r="CA6" s="1718"/>
      <c r="CB6" s="1718"/>
      <c r="CC6" s="1718"/>
      <c r="CD6" s="1718"/>
      <c r="CE6" s="1718"/>
      <c r="CF6" s="1718"/>
      <c r="CG6" s="1718"/>
      <c r="CH6" s="1718"/>
      <c r="CI6" s="1718"/>
      <c r="CJ6" s="1718"/>
    </row>
    <row r="7" spans="1:88" s="1719" customFormat="1" ht="45.95" customHeight="1">
      <c r="A7" s="1712"/>
      <c r="B7" s="1713" t="s">
        <v>770</v>
      </c>
      <c r="C7" s="1714"/>
      <c r="D7" s="1714"/>
      <c r="E7" s="1715"/>
      <c r="F7" s="1720"/>
      <c r="G7" s="1720"/>
      <c r="H7" s="1720"/>
      <c r="I7" s="1720"/>
      <c r="J7" s="1720"/>
      <c r="K7" s="1720"/>
      <c r="L7" s="1720"/>
      <c r="M7" s="1720"/>
      <c r="N7" s="1720"/>
      <c r="O7" s="1720"/>
      <c r="P7" s="1716">
        <v>5</v>
      </c>
      <c r="Q7" s="1716">
        <f>P7+5</f>
        <v>10</v>
      </c>
      <c r="R7" s="1716">
        <f t="shared" ref="R7:AI7" si="23">Q7+5</f>
        <v>15</v>
      </c>
      <c r="S7" s="1716">
        <f t="shared" si="23"/>
        <v>20</v>
      </c>
      <c r="T7" s="1716">
        <f t="shared" si="23"/>
        <v>25</v>
      </c>
      <c r="U7" s="1716">
        <f t="shared" si="23"/>
        <v>30</v>
      </c>
      <c r="V7" s="1716">
        <f t="shared" si="23"/>
        <v>35</v>
      </c>
      <c r="W7" s="1716">
        <f t="shared" si="23"/>
        <v>40</v>
      </c>
      <c r="X7" s="1716">
        <f t="shared" si="23"/>
        <v>45</v>
      </c>
      <c r="Y7" s="1716">
        <f t="shared" si="23"/>
        <v>50</v>
      </c>
      <c r="Z7" s="1716">
        <f t="shared" si="23"/>
        <v>55</v>
      </c>
      <c r="AA7" s="1716">
        <f t="shared" si="23"/>
        <v>60</v>
      </c>
      <c r="AB7" s="1716">
        <f t="shared" si="23"/>
        <v>65</v>
      </c>
      <c r="AC7" s="1716">
        <f t="shared" si="23"/>
        <v>70</v>
      </c>
      <c r="AD7" s="1716">
        <f t="shared" si="23"/>
        <v>75</v>
      </c>
      <c r="AE7" s="1716">
        <f t="shared" si="23"/>
        <v>80</v>
      </c>
      <c r="AF7" s="1716">
        <f t="shared" si="23"/>
        <v>85</v>
      </c>
      <c r="AG7" s="1716">
        <f t="shared" si="23"/>
        <v>90</v>
      </c>
      <c r="AH7" s="1716">
        <f t="shared" si="23"/>
        <v>95</v>
      </c>
      <c r="AI7" s="1716">
        <f t="shared" si="23"/>
        <v>100</v>
      </c>
      <c r="AJ7" s="1715"/>
      <c r="AK7" s="1715"/>
      <c r="AL7" s="1715"/>
      <c r="AM7" s="1715"/>
      <c r="AN7" s="1715"/>
      <c r="AO7" s="1715"/>
      <c r="AP7" s="1715"/>
      <c r="AQ7" s="1715"/>
      <c r="AR7" s="1715"/>
      <c r="AS7" s="1715"/>
      <c r="AT7" s="1715"/>
      <c r="AU7" s="1715"/>
      <c r="AV7" s="1715"/>
      <c r="AW7" s="1715"/>
      <c r="AX7" s="1715"/>
      <c r="AY7" s="1715"/>
      <c r="AZ7" s="1715"/>
      <c r="BA7" s="1715"/>
      <c r="BB7" s="1715"/>
      <c r="BC7" s="1715"/>
      <c r="BD7" s="1715"/>
      <c r="BE7" s="1715"/>
      <c r="BF7" s="1715"/>
      <c r="BG7" s="1715"/>
      <c r="BH7" s="1715"/>
      <c r="BI7" s="1715"/>
      <c r="BJ7" s="1715"/>
      <c r="BK7" s="1715"/>
      <c r="BL7" s="1715"/>
      <c r="BM7" s="1715"/>
      <c r="BN7" s="1715"/>
      <c r="BO7" s="1715"/>
      <c r="BP7" s="1715"/>
      <c r="BQ7" s="1715"/>
      <c r="BR7" s="1715"/>
      <c r="BS7" s="1715"/>
      <c r="BT7" s="1715"/>
      <c r="BU7" s="1715"/>
      <c r="BV7" s="1715"/>
      <c r="BW7" s="1715"/>
      <c r="BX7" s="1715"/>
      <c r="BY7" s="1718"/>
      <c r="BZ7" s="1718"/>
      <c r="CA7" s="1718"/>
      <c r="CB7" s="1718"/>
      <c r="CC7" s="1718"/>
      <c r="CD7" s="1718"/>
      <c r="CE7" s="1718"/>
      <c r="CF7" s="1718"/>
      <c r="CG7" s="1718"/>
      <c r="CH7" s="1718"/>
      <c r="CI7" s="1718"/>
      <c r="CJ7" s="1718"/>
    </row>
    <row r="8" spans="1:88" s="249" customFormat="1" ht="45.95" customHeight="1">
      <c r="A8" s="1721"/>
      <c r="B8" s="1722" t="s">
        <v>1189</v>
      </c>
      <c r="C8" s="1723"/>
      <c r="D8" s="1724"/>
      <c r="E8" s="1258"/>
      <c r="F8" s="1258"/>
      <c r="G8" s="1258"/>
      <c r="H8" s="1258"/>
      <c r="I8" s="1258"/>
      <c r="J8" s="1258"/>
      <c r="K8" s="1258"/>
      <c r="L8" s="1258"/>
      <c r="M8" s="1258"/>
      <c r="N8" s="1258"/>
      <c r="O8" s="1258"/>
      <c r="P8" s="1258"/>
      <c r="Q8" s="1258"/>
      <c r="R8" s="1258"/>
      <c r="S8" s="1258"/>
      <c r="T8" s="1258"/>
      <c r="U8" s="1258"/>
      <c r="V8" s="1258"/>
      <c r="W8" s="1258"/>
      <c r="X8" s="1258"/>
      <c r="Y8" s="1258"/>
      <c r="Z8" s="1258"/>
      <c r="AA8" s="1258"/>
      <c r="AB8" s="1258"/>
      <c r="AC8" s="1258"/>
      <c r="AD8" s="1258"/>
      <c r="AE8" s="1258"/>
      <c r="AF8" s="1258"/>
      <c r="AG8" s="1258"/>
      <c r="AH8" s="1258"/>
      <c r="AI8" s="1258"/>
      <c r="AJ8" s="1258"/>
      <c r="AK8" s="1258"/>
      <c r="AL8" s="1258"/>
      <c r="AM8" s="1258"/>
      <c r="AN8" s="1258"/>
      <c r="AO8" s="1258"/>
      <c r="AP8" s="1258"/>
      <c r="AQ8" s="1258"/>
      <c r="AR8" s="1258"/>
      <c r="AS8" s="1258"/>
      <c r="AT8" s="1258"/>
      <c r="AU8" s="1258"/>
      <c r="AV8" s="1258"/>
      <c r="AW8" s="1258"/>
      <c r="AX8" s="1258"/>
      <c r="AY8" s="1258"/>
      <c r="AZ8" s="1258"/>
      <c r="BA8" s="1258"/>
      <c r="BB8" s="1258"/>
      <c r="BC8" s="1258"/>
      <c r="BD8" s="1258"/>
      <c r="BE8" s="1258"/>
      <c r="BF8" s="1258"/>
      <c r="BG8" s="1258"/>
      <c r="BH8" s="1258"/>
      <c r="BI8" s="1258"/>
      <c r="BJ8" s="1258"/>
      <c r="BK8" s="1258"/>
      <c r="BL8" s="1258"/>
      <c r="BM8" s="1258"/>
      <c r="BN8" s="1258"/>
      <c r="BO8" s="1258"/>
      <c r="BP8" s="1258"/>
      <c r="BQ8" s="1258"/>
      <c r="BR8" s="1258"/>
      <c r="BS8" s="1258"/>
      <c r="BT8" s="1258"/>
      <c r="BU8" s="1258"/>
      <c r="BV8" s="1258"/>
      <c r="BW8" s="1258"/>
      <c r="BX8" s="1258"/>
      <c r="BY8" s="1706"/>
      <c r="BZ8" s="1706"/>
      <c r="CA8" s="1706"/>
      <c r="CB8" s="1706"/>
      <c r="CC8" s="1706"/>
      <c r="CD8" s="1706"/>
      <c r="CE8" s="1706"/>
      <c r="CF8" s="1706"/>
      <c r="CG8" s="1706"/>
      <c r="CH8" s="1706"/>
      <c r="CI8" s="1706"/>
      <c r="CJ8" s="1706"/>
    </row>
    <row r="9" spans="1:88" s="249" customFormat="1" ht="45.95" customHeight="1">
      <c r="A9" s="1257">
        <v>1</v>
      </c>
      <c r="B9" s="1278" t="s">
        <v>714</v>
      </c>
      <c r="C9" s="1257">
        <v>166</v>
      </c>
      <c r="D9" s="1724">
        <f t="shared" ref="D9:D38" si="24">C9/$C$40</f>
        <v>2.2192513368983958E-2</v>
      </c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38"/>
      <c r="U9" s="1238"/>
      <c r="V9" s="1238"/>
      <c r="W9" s="1238"/>
      <c r="X9" s="1238"/>
      <c r="Y9" s="1238"/>
      <c r="Z9" s="1238"/>
      <c r="AA9" s="1238"/>
      <c r="AB9" s="1238"/>
      <c r="AC9" s="1238"/>
      <c r="AD9" s="1238"/>
      <c r="AE9" s="1238"/>
      <c r="AF9" s="1238"/>
      <c r="AG9" s="1238"/>
      <c r="AH9" s="1238"/>
      <c r="AI9" s="1706"/>
      <c r="AJ9" s="1259">
        <v>5</v>
      </c>
      <c r="AK9" s="1259">
        <v>10</v>
      </c>
      <c r="AL9" s="1259">
        <v>20</v>
      </c>
      <c r="AM9" s="1259">
        <v>40</v>
      </c>
      <c r="AN9" s="1259">
        <v>60</v>
      </c>
      <c r="AO9" s="1259">
        <v>80</v>
      </c>
      <c r="AP9" s="1259">
        <v>100</v>
      </c>
      <c r="AQ9" s="1258"/>
      <c r="AR9" s="1258"/>
      <c r="AS9" s="1258"/>
      <c r="AT9" s="1258"/>
      <c r="AU9" s="1258"/>
      <c r="AV9" s="1258"/>
      <c r="AW9" s="1258"/>
      <c r="AX9" s="1258"/>
      <c r="AY9" s="1258"/>
      <c r="AZ9" s="1258"/>
      <c r="BA9" s="1258"/>
      <c r="BB9" s="1258"/>
      <c r="BC9" s="1258"/>
      <c r="BD9" s="1258"/>
      <c r="BE9" s="1258"/>
      <c r="BF9" s="1258"/>
      <c r="BG9" s="1258"/>
      <c r="BH9" s="1258"/>
      <c r="BI9" s="1258"/>
      <c r="BJ9" s="1258"/>
      <c r="BK9" s="1258"/>
      <c r="BL9" s="1258"/>
      <c r="BM9" s="1258"/>
      <c r="BN9" s="1258"/>
      <c r="BO9" s="1258"/>
      <c r="BP9" s="1258"/>
      <c r="BQ9" s="1258"/>
      <c r="BR9" s="1258"/>
      <c r="BS9" s="1258"/>
      <c r="BT9" s="1258"/>
      <c r="BU9" s="1258"/>
      <c r="BV9" s="1258"/>
      <c r="BW9" s="1258"/>
      <c r="BX9" s="1258"/>
      <c r="BY9" s="1706"/>
      <c r="BZ9" s="1706">
        <v>100</v>
      </c>
      <c r="CA9" s="1706">
        <v>100</v>
      </c>
      <c r="CB9" s="1706">
        <v>100</v>
      </c>
      <c r="CC9" s="1706">
        <v>100</v>
      </c>
      <c r="CD9" s="1706">
        <v>100</v>
      </c>
      <c r="CE9" s="1706">
        <v>100</v>
      </c>
      <c r="CF9" s="1706">
        <v>100</v>
      </c>
      <c r="CG9" s="1706">
        <v>100</v>
      </c>
      <c r="CH9" s="1706">
        <v>100</v>
      </c>
      <c r="CI9" s="1706">
        <v>100</v>
      </c>
      <c r="CJ9" s="1706">
        <v>100</v>
      </c>
    </row>
    <row r="10" spans="1:88" s="249" customFormat="1" ht="45.95" customHeight="1">
      <c r="A10" s="1257">
        <v>2</v>
      </c>
      <c r="B10" s="1279" t="s">
        <v>1192</v>
      </c>
      <c r="C10" s="1260">
        <v>84</v>
      </c>
      <c r="D10" s="1724">
        <f t="shared" si="24"/>
        <v>1.1229946524064172E-2</v>
      </c>
      <c r="E10" s="1258"/>
      <c r="F10" s="1258"/>
      <c r="G10" s="1258"/>
      <c r="H10" s="1258"/>
      <c r="I10" s="1258"/>
      <c r="J10" s="1258"/>
      <c r="K10" s="1258"/>
      <c r="L10" s="1258"/>
      <c r="M10" s="1258"/>
      <c r="N10" s="1258"/>
      <c r="O10" s="1258"/>
      <c r="P10" s="1258"/>
      <c r="Q10" s="1258"/>
      <c r="R10" s="1258"/>
      <c r="S10" s="1258"/>
      <c r="T10" s="1258"/>
      <c r="U10" s="1258"/>
      <c r="V10" s="1258"/>
      <c r="W10" s="1258"/>
      <c r="X10" s="1258"/>
      <c r="Y10" s="1258"/>
      <c r="Z10" s="1258"/>
      <c r="AA10" s="1258"/>
      <c r="AB10" s="1258"/>
      <c r="AC10" s="1258"/>
      <c r="AD10" s="1258"/>
      <c r="AE10" s="1258"/>
      <c r="AF10" s="1258"/>
      <c r="AG10" s="1258"/>
      <c r="AH10" s="1258"/>
      <c r="AI10" s="1258"/>
      <c r="AJ10" s="1258"/>
      <c r="AK10" s="1258"/>
      <c r="AL10" s="1258"/>
      <c r="AM10" s="1259">
        <v>50</v>
      </c>
      <c r="AN10" s="1259">
        <v>75</v>
      </c>
      <c r="AO10" s="1259">
        <v>100</v>
      </c>
      <c r="AP10" s="1258"/>
      <c r="AQ10" s="1258"/>
      <c r="AR10" s="1258"/>
      <c r="AS10" s="1258"/>
      <c r="AT10" s="1258"/>
      <c r="AU10" s="1258"/>
      <c r="AV10" s="1258"/>
      <c r="AW10" s="1258"/>
      <c r="AX10" s="1258"/>
      <c r="AY10" s="1258"/>
      <c r="AZ10" s="1258"/>
      <c r="BA10" s="1258"/>
      <c r="BB10" s="1258"/>
      <c r="BC10" s="1258"/>
      <c r="BD10" s="1258"/>
      <c r="BE10" s="1258"/>
      <c r="BF10" s="1258"/>
      <c r="BG10" s="1258"/>
      <c r="BH10" s="1258"/>
      <c r="BI10" s="1258"/>
      <c r="BJ10" s="1258"/>
      <c r="BK10" s="1258"/>
      <c r="BL10" s="1258"/>
      <c r="BM10" s="1258"/>
      <c r="BN10" s="1258"/>
      <c r="BO10" s="1258"/>
      <c r="BP10" s="1258"/>
      <c r="BQ10" s="1258"/>
      <c r="BR10" s="1258"/>
      <c r="BS10" s="1258"/>
      <c r="BT10" s="1258"/>
      <c r="BU10" s="1258"/>
      <c r="BV10" s="1258"/>
      <c r="BW10" s="1258"/>
      <c r="BX10" s="1258"/>
      <c r="BY10" s="1706"/>
      <c r="BZ10" s="1706"/>
      <c r="CA10" s="1706"/>
      <c r="CB10" s="1706"/>
      <c r="CC10" s="1706"/>
      <c r="CD10" s="1706"/>
      <c r="CE10" s="1706"/>
      <c r="CF10" s="1706"/>
      <c r="CG10" s="1706"/>
      <c r="CH10" s="1706"/>
      <c r="CI10" s="1706"/>
      <c r="CJ10" s="1706"/>
    </row>
    <row r="11" spans="1:88" s="249" customFormat="1" ht="45.95" customHeight="1">
      <c r="A11" s="1257">
        <v>3</v>
      </c>
      <c r="B11" s="1278" t="s">
        <v>1193</v>
      </c>
      <c r="C11" s="1257">
        <v>182</v>
      </c>
      <c r="D11" s="1724">
        <f t="shared" si="24"/>
        <v>2.4331550802139036E-2</v>
      </c>
      <c r="E11" s="1258"/>
      <c r="F11" s="1258"/>
      <c r="G11" s="1258"/>
      <c r="H11" s="1258"/>
      <c r="I11" s="1258"/>
      <c r="J11" s="1258"/>
      <c r="K11" s="1258"/>
      <c r="L11" s="1258"/>
      <c r="M11" s="1258"/>
      <c r="N11" s="1258"/>
      <c r="O11" s="1258"/>
      <c r="P11" s="1258"/>
      <c r="Q11" s="1258"/>
      <c r="R11" s="1258"/>
      <c r="S11" s="1258"/>
      <c r="T11" s="1258"/>
      <c r="U11" s="1258"/>
      <c r="V11" s="1258"/>
      <c r="W11" s="1258"/>
      <c r="X11" s="1258"/>
      <c r="Y11" s="1258"/>
      <c r="Z11" s="1258"/>
      <c r="AA11" s="1258"/>
      <c r="AB11" s="1258"/>
      <c r="AC11" s="1258"/>
      <c r="AD11" s="1258"/>
      <c r="AE11" s="1258"/>
      <c r="AF11" s="1258"/>
      <c r="AG11" s="1258"/>
      <c r="AH11" s="1258"/>
      <c r="AI11" s="1258"/>
      <c r="AJ11" s="1258"/>
      <c r="AK11" s="1258"/>
      <c r="AL11" s="1258"/>
      <c r="AM11" s="1258"/>
      <c r="AN11" s="1706"/>
      <c r="AO11" s="1259">
        <v>50</v>
      </c>
      <c r="AP11" s="1259">
        <v>75</v>
      </c>
      <c r="AQ11" s="1259">
        <v>100</v>
      </c>
      <c r="AR11" s="1258"/>
      <c r="AS11" s="1258"/>
      <c r="AT11" s="1258"/>
      <c r="AU11" s="1258"/>
      <c r="AV11" s="1258"/>
      <c r="AW11" s="1258"/>
      <c r="AX11" s="1258"/>
      <c r="AY11" s="1258"/>
      <c r="AZ11" s="1258"/>
      <c r="BA11" s="1258"/>
      <c r="BB11" s="1258"/>
      <c r="BC11" s="1258"/>
      <c r="BD11" s="1258"/>
      <c r="BE11" s="1258"/>
      <c r="BF11" s="1258"/>
      <c r="BG11" s="1258"/>
      <c r="BH11" s="1258"/>
      <c r="BI11" s="1258"/>
      <c r="BJ11" s="1258"/>
      <c r="BK11" s="1258"/>
      <c r="BL11" s="1258"/>
      <c r="BM11" s="1258"/>
      <c r="BN11" s="1258"/>
      <c r="BO11" s="1258"/>
      <c r="BP11" s="1258"/>
      <c r="BQ11" s="1258"/>
      <c r="BR11" s="1258"/>
      <c r="BS11" s="1258"/>
      <c r="BT11" s="1258"/>
      <c r="BU11" s="1258"/>
      <c r="BV11" s="1258"/>
      <c r="BW11" s="1258"/>
      <c r="BX11" s="1258"/>
      <c r="BY11" s="1706"/>
      <c r="BZ11" s="1706">
        <v>100</v>
      </c>
      <c r="CA11" s="1706">
        <v>100</v>
      </c>
      <c r="CB11" s="1706">
        <v>100</v>
      </c>
      <c r="CC11" s="1706">
        <v>100</v>
      </c>
      <c r="CD11" s="1706">
        <v>100</v>
      </c>
      <c r="CE11" s="1706">
        <v>100</v>
      </c>
      <c r="CF11" s="1706">
        <v>100</v>
      </c>
      <c r="CG11" s="1706">
        <v>100</v>
      </c>
      <c r="CH11" s="1706">
        <v>100</v>
      </c>
      <c r="CI11" s="1706">
        <v>100</v>
      </c>
      <c r="CJ11" s="1706">
        <v>100</v>
      </c>
    </row>
    <row r="12" spans="1:88" s="249" customFormat="1" ht="45.95" customHeight="1">
      <c r="A12" s="1257">
        <v>4</v>
      </c>
      <c r="B12" s="1279" t="s">
        <v>1194</v>
      </c>
      <c r="C12" s="1260">
        <v>242</v>
      </c>
      <c r="D12" s="1724">
        <f t="shared" si="24"/>
        <v>3.2352941176470591E-2</v>
      </c>
      <c r="E12" s="1258"/>
      <c r="F12" s="1258"/>
      <c r="G12" s="1258"/>
      <c r="H12" s="1258"/>
      <c r="I12" s="1258"/>
      <c r="J12" s="1258"/>
      <c r="K12" s="1258"/>
      <c r="L12" s="1258"/>
      <c r="M12" s="1258"/>
      <c r="N12" s="1258"/>
      <c r="O12" s="1258"/>
      <c r="P12" s="1258"/>
      <c r="Q12" s="1258"/>
      <c r="R12" s="1258"/>
      <c r="S12" s="1258"/>
      <c r="T12" s="1258"/>
      <c r="U12" s="1258"/>
      <c r="V12" s="1258"/>
      <c r="W12" s="1258"/>
      <c r="X12" s="1258"/>
      <c r="Y12" s="1258"/>
      <c r="Z12" s="1258"/>
      <c r="AA12" s="1258"/>
      <c r="AB12" s="1258"/>
      <c r="AC12" s="1258"/>
      <c r="AD12" s="1258"/>
      <c r="AE12" s="1258"/>
      <c r="AF12" s="1258"/>
      <c r="AG12" s="1258"/>
      <c r="AH12" s="1258"/>
      <c r="AI12" s="1258"/>
      <c r="AJ12" s="1258"/>
      <c r="AK12" s="1258"/>
      <c r="AL12" s="1258"/>
      <c r="AM12" s="1258"/>
      <c r="AN12" s="1258"/>
      <c r="AO12" s="1258"/>
      <c r="AP12" s="1258"/>
      <c r="AQ12" s="1259">
        <v>50</v>
      </c>
      <c r="AR12" s="1259">
        <v>75</v>
      </c>
      <c r="AS12" s="1259">
        <v>100</v>
      </c>
      <c r="AT12" s="1258"/>
      <c r="AU12" s="1258"/>
      <c r="AV12" s="1258"/>
      <c r="AW12" s="1258"/>
      <c r="AX12" s="1258"/>
      <c r="AY12" s="1258"/>
      <c r="AZ12" s="1258"/>
      <c r="BA12" s="1258"/>
      <c r="BB12" s="1258"/>
      <c r="BC12" s="1258"/>
      <c r="BD12" s="1258"/>
      <c r="BE12" s="1258"/>
      <c r="BF12" s="1258"/>
      <c r="BG12" s="1258"/>
      <c r="BH12" s="1258"/>
      <c r="BI12" s="1258"/>
      <c r="BJ12" s="1258"/>
      <c r="BK12" s="1258"/>
      <c r="BL12" s="1258"/>
      <c r="BM12" s="1258"/>
      <c r="BN12" s="1258"/>
      <c r="BO12" s="1258"/>
      <c r="BP12" s="1258"/>
      <c r="BQ12" s="1258"/>
      <c r="BR12" s="1258"/>
      <c r="BS12" s="1258"/>
      <c r="BT12" s="1258"/>
      <c r="BU12" s="1258"/>
      <c r="BV12" s="1258"/>
      <c r="BW12" s="1258"/>
      <c r="BX12" s="1258"/>
      <c r="BY12" s="1706"/>
      <c r="BZ12" s="1706">
        <v>100</v>
      </c>
      <c r="CA12" s="1706">
        <v>100</v>
      </c>
      <c r="CB12" s="1706">
        <v>100</v>
      </c>
      <c r="CC12" s="1706">
        <v>100</v>
      </c>
      <c r="CD12" s="1706">
        <v>100</v>
      </c>
      <c r="CE12" s="1706">
        <v>100</v>
      </c>
      <c r="CF12" s="1706">
        <v>100</v>
      </c>
      <c r="CG12" s="1706">
        <v>100</v>
      </c>
      <c r="CH12" s="1706">
        <v>100</v>
      </c>
      <c r="CI12" s="1706">
        <v>100</v>
      </c>
      <c r="CJ12" s="1706">
        <v>100</v>
      </c>
    </row>
    <row r="13" spans="1:88" s="249" customFormat="1" ht="35.25" customHeight="1">
      <c r="A13" s="1257">
        <v>5</v>
      </c>
      <c r="B13" s="1278" t="s">
        <v>1195</v>
      </c>
      <c r="C13" s="1257">
        <v>184</v>
      </c>
      <c r="D13" s="1724">
        <f t="shared" si="24"/>
        <v>2.4598930481283421E-2</v>
      </c>
      <c r="E13" s="1258"/>
      <c r="F13" s="1258"/>
      <c r="G13" s="1258"/>
      <c r="H13" s="1258"/>
      <c r="I13" s="1258"/>
      <c r="J13" s="1258"/>
      <c r="K13" s="1258"/>
      <c r="L13" s="1258"/>
      <c r="M13" s="1258"/>
      <c r="N13" s="1258"/>
      <c r="O13" s="1258"/>
      <c r="P13" s="1258"/>
      <c r="Q13" s="1258"/>
      <c r="R13" s="1258"/>
      <c r="S13" s="1258"/>
      <c r="T13" s="1258"/>
      <c r="U13" s="1258"/>
      <c r="V13" s="1258"/>
      <c r="W13" s="1258"/>
      <c r="X13" s="1258"/>
      <c r="Y13" s="1258"/>
      <c r="Z13" s="1258"/>
      <c r="AA13" s="1258"/>
      <c r="AB13" s="1258"/>
      <c r="AC13" s="1258"/>
      <c r="AD13" s="1258"/>
      <c r="AE13" s="1258"/>
      <c r="AF13" s="1258"/>
      <c r="AG13" s="1258"/>
      <c r="AH13" s="1258"/>
      <c r="AI13" s="1258"/>
      <c r="AJ13" s="1258"/>
      <c r="AK13" s="1258"/>
      <c r="AL13" s="1258"/>
      <c r="AM13" s="1258"/>
      <c r="AN13" s="1258"/>
      <c r="AO13" s="1258"/>
      <c r="AP13" s="1258"/>
      <c r="AQ13" s="1258"/>
      <c r="AR13" s="1258"/>
      <c r="AS13" s="1259">
        <v>50</v>
      </c>
      <c r="AT13" s="1259">
        <v>75</v>
      </c>
      <c r="AU13" s="1259">
        <v>100</v>
      </c>
      <c r="AV13" s="1258"/>
      <c r="AW13" s="1258"/>
      <c r="AX13" s="1258"/>
      <c r="AY13" s="1258"/>
      <c r="AZ13" s="1258"/>
      <c r="BA13" s="1258"/>
      <c r="BB13" s="1258"/>
      <c r="BC13" s="1258"/>
      <c r="BD13" s="1258"/>
      <c r="BE13" s="1258"/>
      <c r="BF13" s="1258"/>
      <c r="BG13" s="1258"/>
      <c r="BH13" s="1258"/>
      <c r="BI13" s="1258"/>
      <c r="BJ13" s="1258"/>
      <c r="BK13" s="1258"/>
      <c r="BL13" s="1258"/>
      <c r="BM13" s="1258"/>
      <c r="BN13" s="1258"/>
      <c r="BO13" s="1258"/>
      <c r="BP13" s="1258"/>
      <c r="BQ13" s="1258"/>
      <c r="BR13" s="1258"/>
      <c r="BS13" s="1258"/>
      <c r="BT13" s="1258"/>
      <c r="BU13" s="1258"/>
      <c r="BV13" s="1258"/>
      <c r="BW13" s="1258"/>
      <c r="BX13" s="1258"/>
      <c r="BY13" s="1706"/>
      <c r="BZ13" s="1706">
        <v>100</v>
      </c>
      <c r="CA13" s="1706">
        <v>100</v>
      </c>
      <c r="CB13" s="1706">
        <v>100</v>
      </c>
      <c r="CC13" s="1706">
        <v>100</v>
      </c>
      <c r="CD13" s="1706">
        <v>100</v>
      </c>
      <c r="CE13" s="1706">
        <v>100</v>
      </c>
      <c r="CF13" s="1706">
        <v>100</v>
      </c>
      <c r="CG13" s="1706">
        <v>100</v>
      </c>
      <c r="CH13" s="1706">
        <v>100</v>
      </c>
      <c r="CI13" s="1706">
        <v>100</v>
      </c>
      <c r="CJ13" s="1706">
        <v>100</v>
      </c>
    </row>
    <row r="14" spans="1:88" s="249" customFormat="1" ht="51" customHeight="1">
      <c r="A14" s="1257">
        <v>6</v>
      </c>
      <c r="B14" s="1279" t="s">
        <v>1196</v>
      </c>
      <c r="C14" s="1260">
        <v>425</v>
      </c>
      <c r="D14" s="1724">
        <f t="shared" si="24"/>
        <v>5.6818181818181816E-2</v>
      </c>
      <c r="E14" s="1258"/>
      <c r="F14" s="1258"/>
      <c r="G14" s="1258"/>
      <c r="H14" s="1258"/>
      <c r="I14" s="1258"/>
      <c r="J14" s="1258"/>
      <c r="K14" s="1258"/>
      <c r="L14" s="1258"/>
      <c r="M14" s="1258"/>
      <c r="N14" s="1258"/>
      <c r="O14" s="1258"/>
      <c r="P14" s="1258"/>
      <c r="Q14" s="1258"/>
      <c r="R14" s="1258"/>
      <c r="S14" s="1258"/>
      <c r="T14" s="1258"/>
      <c r="U14" s="1258"/>
      <c r="V14" s="1258"/>
      <c r="W14" s="1258"/>
      <c r="X14" s="1258"/>
      <c r="Y14" s="1258"/>
      <c r="Z14" s="1258"/>
      <c r="AA14" s="1258"/>
      <c r="AB14" s="1258"/>
      <c r="AC14" s="1258"/>
      <c r="AD14" s="1258"/>
      <c r="AE14" s="1258"/>
      <c r="AF14" s="1258"/>
      <c r="AG14" s="1258"/>
      <c r="AH14" s="1258"/>
      <c r="AI14" s="1258"/>
      <c r="AJ14" s="1258"/>
      <c r="AK14" s="1258"/>
      <c r="AL14" s="1258"/>
      <c r="AM14" s="1258"/>
      <c r="AN14" s="1258"/>
      <c r="AO14" s="1258"/>
      <c r="AP14" s="1258"/>
      <c r="AQ14" s="1258"/>
      <c r="AR14" s="1258"/>
      <c r="AS14" s="1258"/>
      <c r="AT14" s="1259">
        <v>50</v>
      </c>
      <c r="AU14" s="1259">
        <v>75</v>
      </c>
      <c r="AV14" s="1259">
        <v>100</v>
      </c>
      <c r="AW14" s="1258"/>
      <c r="AX14" s="1258"/>
      <c r="AY14" s="1258"/>
      <c r="AZ14" s="1258"/>
      <c r="BA14" s="1258"/>
      <c r="BB14" s="1258"/>
      <c r="BC14" s="1258"/>
      <c r="BD14" s="1258"/>
      <c r="BE14" s="1258"/>
      <c r="BF14" s="1258"/>
      <c r="BG14" s="1258"/>
      <c r="BH14" s="1258"/>
      <c r="BI14" s="1258"/>
      <c r="BJ14" s="1258"/>
      <c r="BK14" s="1258"/>
      <c r="BL14" s="1258"/>
      <c r="BM14" s="1258"/>
      <c r="BN14" s="1258"/>
      <c r="BO14" s="1258"/>
      <c r="BP14" s="1258"/>
      <c r="BQ14" s="1258"/>
      <c r="BR14" s="1258"/>
      <c r="BS14" s="1258"/>
      <c r="BT14" s="1258"/>
      <c r="BU14" s="1258"/>
      <c r="BV14" s="1258"/>
      <c r="BW14" s="1258"/>
      <c r="BX14" s="1258"/>
      <c r="BY14" s="1706"/>
      <c r="BZ14" s="1706">
        <v>100</v>
      </c>
      <c r="CA14" s="1706">
        <v>100</v>
      </c>
      <c r="CB14" s="1706">
        <v>100</v>
      </c>
      <c r="CC14" s="1706">
        <v>100</v>
      </c>
      <c r="CD14" s="1706">
        <v>100</v>
      </c>
      <c r="CE14" s="1706">
        <v>100</v>
      </c>
      <c r="CF14" s="1706">
        <v>100</v>
      </c>
      <c r="CG14" s="1706">
        <v>100</v>
      </c>
      <c r="CH14" s="1706">
        <v>100</v>
      </c>
      <c r="CI14" s="1706">
        <v>100</v>
      </c>
      <c r="CJ14" s="1706">
        <v>100</v>
      </c>
    </row>
    <row r="15" spans="1:88" s="249" customFormat="1" ht="54" customHeight="1">
      <c r="A15" s="1257">
        <v>7</v>
      </c>
      <c r="B15" s="1278" t="s">
        <v>1197</v>
      </c>
      <c r="C15" s="1257">
        <v>217</v>
      </c>
      <c r="D15" s="1724">
        <f t="shared" si="24"/>
        <v>2.9010695187165775E-2</v>
      </c>
      <c r="E15" s="1258"/>
      <c r="F15" s="1258"/>
      <c r="G15" s="1258"/>
      <c r="H15" s="1258"/>
      <c r="I15" s="1258"/>
      <c r="J15" s="1258"/>
      <c r="K15" s="1258"/>
      <c r="L15" s="1258"/>
      <c r="M15" s="1258"/>
      <c r="N15" s="1258"/>
      <c r="O15" s="1258"/>
      <c r="P15" s="1258"/>
      <c r="Q15" s="1258"/>
      <c r="R15" s="1258"/>
      <c r="S15" s="1258"/>
      <c r="T15" s="1258"/>
      <c r="U15" s="1258"/>
      <c r="V15" s="1258"/>
      <c r="W15" s="1258"/>
      <c r="X15" s="1258"/>
      <c r="Y15" s="1258"/>
      <c r="Z15" s="1258"/>
      <c r="AA15" s="1258"/>
      <c r="AB15" s="1258"/>
      <c r="AC15" s="1258"/>
      <c r="AD15" s="1258"/>
      <c r="AE15" s="1258"/>
      <c r="AF15" s="1258"/>
      <c r="AG15" s="1258"/>
      <c r="AH15" s="1258"/>
      <c r="AI15" s="1258"/>
      <c r="AJ15" s="1258"/>
      <c r="AK15" s="1258"/>
      <c r="AL15" s="1258"/>
      <c r="AM15" s="1258"/>
      <c r="AN15" s="1258"/>
      <c r="AO15" s="1258"/>
      <c r="AP15" s="1258"/>
      <c r="AQ15" s="1258"/>
      <c r="AR15" s="1258"/>
      <c r="AS15" s="1258"/>
      <c r="AT15" s="1258"/>
      <c r="AU15" s="1259">
        <v>50</v>
      </c>
      <c r="AV15" s="1259">
        <v>75</v>
      </c>
      <c r="AW15" s="1259">
        <v>100</v>
      </c>
      <c r="AX15" s="1258"/>
      <c r="AY15" s="1258"/>
      <c r="AZ15" s="1258"/>
      <c r="BA15" s="1258"/>
      <c r="BB15" s="1258"/>
      <c r="BC15" s="1258"/>
      <c r="BD15" s="1258"/>
      <c r="BE15" s="1258"/>
      <c r="BF15" s="1258"/>
      <c r="BG15" s="1258"/>
      <c r="BH15" s="1258"/>
      <c r="BI15" s="1258"/>
      <c r="BJ15" s="1258"/>
      <c r="BK15" s="1258"/>
      <c r="BL15" s="1258"/>
      <c r="BM15" s="1258"/>
      <c r="BN15" s="1258"/>
      <c r="BO15" s="1258"/>
      <c r="BP15" s="1258"/>
      <c r="BQ15" s="1258"/>
      <c r="BR15" s="1258"/>
      <c r="BS15" s="1258"/>
      <c r="BT15" s="1258"/>
      <c r="BU15" s="1258"/>
      <c r="BV15" s="1258"/>
      <c r="BW15" s="1258"/>
      <c r="BX15" s="1258"/>
      <c r="BY15" s="1706"/>
      <c r="BZ15" s="1706"/>
      <c r="CA15" s="1706"/>
      <c r="CB15" s="1706"/>
      <c r="CC15" s="1706"/>
      <c r="CD15" s="1706"/>
      <c r="CE15" s="1706"/>
      <c r="CF15" s="1706"/>
      <c r="CG15" s="1706"/>
      <c r="CH15" s="1706"/>
      <c r="CI15" s="1706"/>
      <c r="CJ15" s="1706"/>
    </row>
    <row r="16" spans="1:88" s="249" customFormat="1" ht="42.75" customHeight="1">
      <c r="A16" s="1257">
        <v>8</v>
      </c>
      <c r="B16" s="1279" t="s">
        <v>1198</v>
      </c>
      <c r="C16" s="1260">
        <v>132</v>
      </c>
      <c r="D16" s="1724">
        <f t="shared" si="24"/>
        <v>1.7647058823529412E-2</v>
      </c>
      <c r="E16" s="1258"/>
      <c r="F16" s="1258"/>
      <c r="G16" s="1258"/>
      <c r="H16" s="1258"/>
      <c r="I16" s="1258"/>
      <c r="J16" s="1258"/>
      <c r="K16" s="1258"/>
      <c r="L16" s="1258"/>
      <c r="M16" s="1258"/>
      <c r="N16" s="1258"/>
      <c r="O16" s="1258"/>
      <c r="P16" s="1258"/>
      <c r="Q16" s="1258"/>
      <c r="R16" s="1258"/>
      <c r="S16" s="1258"/>
      <c r="T16" s="1258"/>
      <c r="U16" s="1258"/>
      <c r="V16" s="1258"/>
      <c r="W16" s="1258"/>
      <c r="X16" s="1258"/>
      <c r="Y16" s="1258"/>
      <c r="Z16" s="1258"/>
      <c r="AA16" s="1258"/>
      <c r="AB16" s="1258"/>
      <c r="AC16" s="1258"/>
      <c r="AD16" s="1258"/>
      <c r="AE16" s="1258"/>
      <c r="AF16" s="1258"/>
      <c r="AG16" s="1258"/>
      <c r="AH16" s="1258"/>
      <c r="AI16" s="1258"/>
      <c r="AJ16" s="1258"/>
      <c r="AK16" s="1258"/>
      <c r="AL16" s="1258"/>
      <c r="AM16" s="1258"/>
      <c r="AN16" s="1258"/>
      <c r="AO16" s="1258"/>
      <c r="AP16" s="1258"/>
      <c r="AQ16" s="1258"/>
      <c r="AR16" s="1258"/>
      <c r="AS16" s="1258"/>
      <c r="AT16" s="1258"/>
      <c r="AU16" s="1258"/>
      <c r="AV16" s="1258"/>
      <c r="AW16" s="1259">
        <v>75</v>
      </c>
      <c r="AX16" s="1259">
        <v>100</v>
      </c>
      <c r="AY16" s="1258"/>
      <c r="AZ16" s="1258"/>
      <c r="BA16" s="1258"/>
      <c r="BB16" s="1258"/>
      <c r="BC16" s="1258"/>
      <c r="BD16" s="1258"/>
      <c r="BE16" s="1258"/>
      <c r="BF16" s="1258"/>
      <c r="BG16" s="1258"/>
      <c r="BH16" s="1258"/>
      <c r="BI16" s="1258"/>
      <c r="BJ16" s="1258"/>
      <c r="BK16" s="1258"/>
      <c r="BL16" s="1258"/>
      <c r="BM16" s="1258"/>
      <c r="BN16" s="1258"/>
      <c r="BO16" s="1258"/>
      <c r="BP16" s="1258"/>
      <c r="BQ16" s="1258"/>
      <c r="BR16" s="1258"/>
      <c r="BS16" s="1258"/>
      <c r="BT16" s="1258"/>
      <c r="BU16" s="1258"/>
      <c r="BV16" s="1258"/>
      <c r="BW16" s="1258"/>
      <c r="BX16" s="1258"/>
      <c r="BY16" s="1706"/>
      <c r="BZ16" s="1706">
        <v>100</v>
      </c>
      <c r="CA16" s="1706">
        <v>100</v>
      </c>
      <c r="CB16" s="1706">
        <v>100</v>
      </c>
      <c r="CC16" s="1706">
        <v>100</v>
      </c>
      <c r="CD16" s="1706">
        <v>100</v>
      </c>
      <c r="CE16" s="1706">
        <v>100</v>
      </c>
      <c r="CF16" s="1706">
        <v>100</v>
      </c>
      <c r="CG16" s="1706">
        <v>100</v>
      </c>
      <c r="CH16" s="1706">
        <v>100</v>
      </c>
      <c r="CI16" s="1706">
        <v>100</v>
      </c>
      <c r="CJ16" s="1706">
        <v>100</v>
      </c>
    </row>
    <row r="17" spans="1:88" s="249" customFormat="1" ht="48" customHeight="1">
      <c r="A17" s="1257">
        <v>9</v>
      </c>
      <c r="B17" s="1278" t="s">
        <v>1199</v>
      </c>
      <c r="C17" s="1257">
        <v>264</v>
      </c>
      <c r="D17" s="1724">
        <f t="shared" si="24"/>
        <v>3.5294117647058823E-2</v>
      </c>
      <c r="E17" s="1258"/>
      <c r="F17" s="1258"/>
      <c r="G17" s="1258"/>
      <c r="H17" s="1258"/>
      <c r="I17" s="1258"/>
      <c r="J17" s="1258"/>
      <c r="K17" s="1258"/>
      <c r="L17" s="1258"/>
      <c r="M17" s="1258"/>
      <c r="N17" s="1258"/>
      <c r="O17" s="1258"/>
      <c r="P17" s="1258"/>
      <c r="Q17" s="1258"/>
      <c r="R17" s="1258"/>
      <c r="S17" s="1258"/>
      <c r="T17" s="1258"/>
      <c r="U17" s="1258"/>
      <c r="V17" s="1258"/>
      <c r="W17" s="1258"/>
      <c r="X17" s="1258"/>
      <c r="Y17" s="1258"/>
      <c r="Z17" s="1258"/>
      <c r="AA17" s="1258"/>
      <c r="AB17" s="1258"/>
      <c r="AC17" s="1258"/>
      <c r="AD17" s="1258"/>
      <c r="AE17" s="1258"/>
      <c r="AF17" s="1258"/>
      <c r="AG17" s="1258"/>
      <c r="AH17" s="1258"/>
      <c r="AI17" s="1258"/>
      <c r="AJ17" s="1258"/>
      <c r="AK17" s="1258"/>
      <c r="AL17" s="1258"/>
      <c r="AM17" s="1258"/>
      <c r="AN17" s="1258"/>
      <c r="AO17" s="1258"/>
      <c r="AP17" s="1258"/>
      <c r="AQ17" s="1258"/>
      <c r="AR17" s="1258"/>
      <c r="AS17" s="1258"/>
      <c r="AT17" s="1258"/>
      <c r="AU17" s="1258"/>
      <c r="AV17" s="1258"/>
      <c r="AW17" s="1258"/>
      <c r="AX17" s="1259">
        <v>75</v>
      </c>
      <c r="AY17" s="1259">
        <v>100</v>
      </c>
      <c r="AZ17" s="1258"/>
      <c r="BA17" s="1258"/>
      <c r="BB17" s="1258"/>
      <c r="BC17" s="1258"/>
      <c r="BD17" s="1258"/>
      <c r="BE17" s="1258"/>
      <c r="BF17" s="1258"/>
      <c r="BG17" s="1258"/>
      <c r="BH17" s="1258"/>
      <c r="BI17" s="1258"/>
      <c r="BJ17" s="1258"/>
      <c r="BK17" s="1258"/>
      <c r="BL17" s="1258"/>
      <c r="BM17" s="1258"/>
      <c r="BN17" s="1258"/>
      <c r="BO17" s="1258"/>
      <c r="BP17" s="1258"/>
      <c r="BQ17" s="1258"/>
      <c r="BR17" s="1258"/>
      <c r="BS17" s="1258"/>
      <c r="BT17" s="1258"/>
      <c r="BU17" s="1258"/>
      <c r="BV17" s="1258"/>
      <c r="BW17" s="1258"/>
      <c r="BX17" s="1258"/>
      <c r="BY17" s="1706"/>
      <c r="BZ17" s="1706">
        <v>100</v>
      </c>
      <c r="CA17" s="1706">
        <v>100</v>
      </c>
      <c r="CB17" s="1706">
        <v>100</v>
      </c>
      <c r="CC17" s="1706">
        <v>100</v>
      </c>
      <c r="CD17" s="1706">
        <v>100</v>
      </c>
      <c r="CE17" s="1706">
        <v>100</v>
      </c>
      <c r="CF17" s="1706">
        <v>100</v>
      </c>
      <c r="CG17" s="1706">
        <v>100</v>
      </c>
      <c r="CH17" s="1706">
        <v>100</v>
      </c>
      <c r="CI17" s="1706">
        <v>100</v>
      </c>
      <c r="CJ17" s="1706">
        <v>100</v>
      </c>
    </row>
    <row r="18" spans="1:88" s="249" customFormat="1" ht="45.95" customHeight="1">
      <c r="A18" s="1257">
        <v>10</v>
      </c>
      <c r="B18" s="1279" t="s">
        <v>788</v>
      </c>
      <c r="C18" s="1260">
        <v>385</v>
      </c>
      <c r="D18" s="1724">
        <f t="shared" si="24"/>
        <v>5.1470588235294115E-2</v>
      </c>
      <c r="E18" s="1258"/>
      <c r="F18" s="1258"/>
      <c r="G18" s="1258"/>
      <c r="H18" s="1258"/>
      <c r="I18" s="1258"/>
      <c r="J18" s="1258"/>
      <c r="K18" s="1258"/>
      <c r="L18" s="1258"/>
      <c r="M18" s="1258"/>
      <c r="N18" s="1258"/>
      <c r="O18" s="1258"/>
      <c r="P18" s="1258"/>
      <c r="Q18" s="1258"/>
      <c r="R18" s="1258"/>
      <c r="S18" s="1258"/>
      <c r="T18" s="1258"/>
      <c r="U18" s="1258"/>
      <c r="V18" s="1258"/>
      <c r="W18" s="1258"/>
      <c r="X18" s="1258"/>
      <c r="Y18" s="1258"/>
      <c r="Z18" s="1258"/>
      <c r="AA18" s="1258"/>
      <c r="AB18" s="1258"/>
      <c r="AC18" s="1258"/>
      <c r="AD18" s="1258"/>
      <c r="AE18" s="1258"/>
      <c r="AF18" s="1258"/>
      <c r="AG18" s="1258"/>
      <c r="AH18" s="1258"/>
      <c r="AI18" s="1258"/>
      <c r="AJ18" s="1258"/>
      <c r="AK18" s="1258"/>
      <c r="AL18" s="1258"/>
      <c r="AM18" s="1258"/>
      <c r="AN18" s="1258"/>
      <c r="AO18" s="1258"/>
      <c r="AP18" s="1258"/>
      <c r="AQ18" s="1258"/>
      <c r="AR18" s="1258"/>
      <c r="AS18" s="1258"/>
      <c r="AT18" s="1258"/>
      <c r="AU18" s="1258"/>
      <c r="AV18" s="1258"/>
      <c r="AW18" s="1258"/>
      <c r="AX18" s="1258"/>
      <c r="AY18" s="1259">
        <v>50</v>
      </c>
      <c r="AZ18" s="1259">
        <v>75</v>
      </c>
      <c r="BA18" s="1259">
        <v>100</v>
      </c>
      <c r="BB18" s="1258"/>
      <c r="BC18" s="1258"/>
      <c r="BD18" s="1258"/>
      <c r="BE18" s="1258"/>
      <c r="BF18" s="1258"/>
      <c r="BG18" s="1258"/>
      <c r="BH18" s="1258"/>
      <c r="BI18" s="1258"/>
      <c r="BJ18" s="1258"/>
      <c r="BK18" s="1258"/>
      <c r="BL18" s="1258"/>
      <c r="BM18" s="1258"/>
      <c r="BN18" s="1258"/>
      <c r="BO18" s="1258"/>
      <c r="BP18" s="1258"/>
      <c r="BQ18" s="1258"/>
      <c r="BR18" s="1258"/>
      <c r="BS18" s="1258"/>
      <c r="BT18" s="1258"/>
      <c r="BU18" s="1258"/>
      <c r="BV18" s="1258"/>
      <c r="BW18" s="1258"/>
      <c r="BX18" s="1258"/>
      <c r="BY18" s="1706"/>
      <c r="BZ18" s="1706">
        <v>100</v>
      </c>
      <c r="CA18" s="1706">
        <v>100</v>
      </c>
      <c r="CB18" s="1706">
        <v>100</v>
      </c>
      <c r="CC18" s="1706">
        <v>100</v>
      </c>
      <c r="CD18" s="1706">
        <v>100</v>
      </c>
      <c r="CE18" s="1706">
        <v>100</v>
      </c>
      <c r="CF18" s="1706">
        <v>100</v>
      </c>
      <c r="CG18" s="1706">
        <v>100</v>
      </c>
      <c r="CH18" s="1706">
        <v>100</v>
      </c>
      <c r="CI18" s="1706">
        <v>100</v>
      </c>
      <c r="CJ18" s="1706">
        <v>100</v>
      </c>
    </row>
    <row r="19" spans="1:88" s="249" customFormat="1" ht="45.95" customHeight="1">
      <c r="A19" s="1257">
        <v>11</v>
      </c>
      <c r="B19" s="1278" t="s">
        <v>789</v>
      </c>
      <c r="C19" s="1257">
        <v>165</v>
      </c>
      <c r="D19" s="1724">
        <f t="shared" si="24"/>
        <v>2.2058823529411766E-2</v>
      </c>
      <c r="E19" s="1258"/>
      <c r="F19" s="1258"/>
      <c r="G19" s="1258"/>
      <c r="H19" s="1258"/>
      <c r="I19" s="1258"/>
      <c r="J19" s="1258"/>
      <c r="K19" s="1258"/>
      <c r="L19" s="1258"/>
      <c r="M19" s="1258"/>
      <c r="N19" s="1258"/>
      <c r="O19" s="1258"/>
      <c r="P19" s="1258"/>
      <c r="Q19" s="1258"/>
      <c r="R19" s="1258"/>
      <c r="S19" s="1258"/>
      <c r="T19" s="1258"/>
      <c r="U19" s="1258"/>
      <c r="V19" s="1258"/>
      <c r="W19" s="1258"/>
      <c r="X19" s="1258"/>
      <c r="Y19" s="1258"/>
      <c r="Z19" s="1258"/>
      <c r="AA19" s="1258"/>
      <c r="AB19" s="1258"/>
      <c r="AC19" s="1258"/>
      <c r="AD19" s="1258"/>
      <c r="AE19" s="1258"/>
      <c r="AF19" s="1258"/>
      <c r="AG19" s="1258"/>
      <c r="AH19" s="1258"/>
      <c r="AI19" s="1258"/>
      <c r="AJ19" s="1258"/>
      <c r="AK19" s="1258"/>
      <c r="AL19" s="1258"/>
      <c r="AM19" s="1258"/>
      <c r="AN19" s="1258"/>
      <c r="AO19" s="1258"/>
      <c r="AP19" s="1258"/>
      <c r="AQ19" s="1258"/>
      <c r="AR19" s="1258"/>
      <c r="AS19" s="1258"/>
      <c r="AT19" s="1258"/>
      <c r="AU19" s="1258"/>
      <c r="AV19" s="1258"/>
      <c r="AW19" s="1258"/>
      <c r="AX19" s="1258"/>
      <c r="AY19" s="1258"/>
      <c r="AZ19" s="1259">
        <v>50</v>
      </c>
      <c r="BA19" s="1259">
        <v>75</v>
      </c>
      <c r="BB19" s="1259">
        <v>100</v>
      </c>
      <c r="BC19" s="1258"/>
      <c r="BD19" s="1258"/>
      <c r="BE19" s="1258"/>
      <c r="BF19" s="1258"/>
      <c r="BG19" s="1258"/>
      <c r="BH19" s="1258"/>
      <c r="BI19" s="1258"/>
      <c r="BJ19" s="1258"/>
      <c r="BK19" s="1258"/>
      <c r="BL19" s="1258"/>
      <c r="BM19" s="1258"/>
      <c r="BN19" s="1258"/>
      <c r="BO19" s="1258"/>
      <c r="BP19" s="1258"/>
      <c r="BQ19" s="1258"/>
      <c r="BR19" s="1258"/>
      <c r="BS19" s="1258"/>
      <c r="BT19" s="1258"/>
      <c r="BU19" s="1258"/>
      <c r="BV19" s="1258"/>
      <c r="BW19" s="1258"/>
      <c r="BX19" s="1258"/>
      <c r="BY19" s="1706"/>
      <c r="BZ19" s="1706">
        <v>100</v>
      </c>
      <c r="CA19" s="1706">
        <v>100</v>
      </c>
      <c r="CB19" s="1706">
        <v>100</v>
      </c>
      <c r="CC19" s="1706">
        <v>100</v>
      </c>
      <c r="CD19" s="1706">
        <v>100</v>
      </c>
      <c r="CE19" s="1706">
        <v>100</v>
      </c>
      <c r="CF19" s="1706">
        <v>100</v>
      </c>
      <c r="CG19" s="1706">
        <v>100</v>
      </c>
      <c r="CH19" s="1706">
        <v>100</v>
      </c>
      <c r="CI19" s="1706">
        <v>100</v>
      </c>
      <c r="CJ19" s="1706">
        <v>100</v>
      </c>
    </row>
    <row r="20" spans="1:88" s="249" customFormat="1" ht="45.95" customHeight="1">
      <c r="A20" s="1257">
        <v>12</v>
      </c>
      <c r="B20" s="1279" t="s">
        <v>1200</v>
      </c>
      <c r="C20" s="1260">
        <v>84</v>
      </c>
      <c r="D20" s="1724">
        <f t="shared" si="24"/>
        <v>1.1229946524064172E-2</v>
      </c>
      <c r="E20" s="1258"/>
      <c r="F20" s="1258"/>
      <c r="G20" s="1258"/>
      <c r="H20" s="1258"/>
      <c r="I20" s="1258"/>
      <c r="J20" s="1258"/>
      <c r="K20" s="1258"/>
      <c r="L20" s="1258"/>
      <c r="M20" s="1258"/>
      <c r="N20" s="1258"/>
      <c r="O20" s="1258"/>
      <c r="P20" s="1258"/>
      <c r="Q20" s="1258"/>
      <c r="R20" s="1258"/>
      <c r="S20" s="1258"/>
      <c r="T20" s="1258"/>
      <c r="U20" s="1258"/>
      <c r="V20" s="1258"/>
      <c r="W20" s="1258"/>
      <c r="X20" s="1258"/>
      <c r="Y20" s="1258"/>
      <c r="Z20" s="1258"/>
      <c r="AA20" s="1258"/>
      <c r="AB20" s="1258"/>
      <c r="AC20" s="1258"/>
      <c r="AD20" s="1258"/>
      <c r="AE20" s="1258"/>
      <c r="AF20" s="1258"/>
      <c r="AG20" s="1258"/>
      <c r="AH20" s="1258"/>
      <c r="AI20" s="1258"/>
      <c r="AJ20" s="1258"/>
      <c r="AK20" s="1258"/>
      <c r="AL20" s="1258"/>
      <c r="AM20" s="1258"/>
      <c r="AN20" s="1258"/>
      <c r="AO20" s="1258"/>
      <c r="AP20" s="1258"/>
      <c r="AQ20" s="1258"/>
      <c r="AR20" s="1258"/>
      <c r="AS20" s="1258"/>
      <c r="AT20" s="1258"/>
      <c r="AU20" s="1258"/>
      <c r="AV20" s="1258"/>
      <c r="AW20" s="1258"/>
      <c r="AX20" s="1258"/>
      <c r="AY20" s="1258"/>
      <c r="AZ20" s="1258"/>
      <c r="BA20" s="1259">
        <v>50</v>
      </c>
      <c r="BB20" s="1259">
        <v>75</v>
      </c>
      <c r="BC20" s="1259">
        <v>100</v>
      </c>
      <c r="BD20" s="1258"/>
      <c r="BE20" s="1258"/>
      <c r="BF20" s="1258"/>
      <c r="BG20" s="1258"/>
      <c r="BH20" s="1258"/>
      <c r="BI20" s="1258"/>
      <c r="BJ20" s="1258"/>
      <c r="BK20" s="1258"/>
      <c r="BL20" s="1258"/>
      <c r="BM20" s="1258"/>
      <c r="BN20" s="1258"/>
      <c r="BO20" s="1258"/>
      <c r="BP20" s="1258"/>
      <c r="BQ20" s="1258"/>
      <c r="BR20" s="1258"/>
      <c r="BS20" s="1258"/>
      <c r="BT20" s="1258"/>
      <c r="BU20" s="1258"/>
      <c r="BV20" s="1258"/>
      <c r="BW20" s="1258"/>
      <c r="BX20" s="1258"/>
      <c r="BY20" s="1706"/>
      <c r="BZ20" s="1706"/>
      <c r="CA20" s="1706"/>
      <c r="CB20" s="1706"/>
      <c r="CC20" s="1706"/>
      <c r="CD20" s="1706"/>
      <c r="CE20" s="1706"/>
      <c r="CF20" s="1706"/>
      <c r="CG20" s="1706"/>
      <c r="CH20" s="1706"/>
      <c r="CI20" s="1706"/>
      <c r="CJ20" s="1706"/>
    </row>
    <row r="21" spans="1:88" s="249" customFormat="1" ht="45.95" customHeight="1">
      <c r="A21" s="1257">
        <v>13</v>
      </c>
      <c r="B21" s="1278" t="s">
        <v>790</v>
      </c>
      <c r="C21" s="1257">
        <v>162</v>
      </c>
      <c r="D21" s="1724">
        <f t="shared" si="24"/>
        <v>2.1657754010695186E-2</v>
      </c>
      <c r="E21" s="1258"/>
      <c r="F21" s="1258"/>
      <c r="G21" s="1258"/>
      <c r="H21" s="1258"/>
      <c r="I21" s="1258"/>
      <c r="J21" s="1258"/>
      <c r="K21" s="1258"/>
      <c r="L21" s="1258"/>
      <c r="M21" s="1258"/>
      <c r="N21" s="1258"/>
      <c r="O21" s="1258"/>
      <c r="P21" s="1258"/>
      <c r="Q21" s="1258"/>
      <c r="R21" s="1258"/>
      <c r="S21" s="1258"/>
      <c r="T21" s="1258"/>
      <c r="U21" s="1258"/>
      <c r="V21" s="1258"/>
      <c r="W21" s="1258"/>
      <c r="X21" s="1258"/>
      <c r="Y21" s="1258"/>
      <c r="Z21" s="1258"/>
      <c r="AA21" s="1258"/>
      <c r="AB21" s="1258"/>
      <c r="AC21" s="1258"/>
      <c r="AD21" s="1258"/>
      <c r="AE21" s="1258"/>
      <c r="AF21" s="1258"/>
      <c r="AG21" s="1258"/>
      <c r="AH21" s="1258"/>
      <c r="AI21" s="1258"/>
      <c r="AJ21" s="1258"/>
      <c r="AK21" s="1258"/>
      <c r="AL21" s="1258"/>
      <c r="AM21" s="1258"/>
      <c r="AN21" s="1258"/>
      <c r="AO21" s="1258"/>
      <c r="AP21" s="1258"/>
      <c r="AQ21" s="1258"/>
      <c r="AR21" s="1258"/>
      <c r="AS21" s="1258"/>
      <c r="AT21" s="1258"/>
      <c r="AU21" s="1258"/>
      <c r="AV21" s="1258"/>
      <c r="AW21" s="1258"/>
      <c r="AX21" s="1258"/>
      <c r="AY21" s="1258"/>
      <c r="AZ21" s="1258"/>
      <c r="BA21" s="1258"/>
      <c r="BB21" s="1258"/>
      <c r="BC21" s="1259">
        <v>75</v>
      </c>
      <c r="BD21" s="1259">
        <v>100</v>
      </c>
      <c r="BE21" s="1258"/>
      <c r="BF21" s="1258"/>
      <c r="BG21" s="1258"/>
      <c r="BH21" s="1258"/>
      <c r="BI21" s="1258"/>
      <c r="BJ21" s="1258"/>
      <c r="BK21" s="1258"/>
      <c r="BL21" s="1258"/>
      <c r="BM21" s="1258"/>
      <c r="BN21" s="1258"/>
      <c r="BO21" s="1258"/>
      <c r="BP21" s="1258"/>
      <c r="BQ21" s="1258"/>
      <c r="BR21" s="1258"/>
      <c r="BS21" s="1258"/>
      <c r="BT21" s="1258"/>
      <c r="BU21" s="1258"/>
      <c r="BV21" s="1258"/>
      <c r="BW21" s="1258"/>
      <c r="BX21" s="1258"/>
      <c r="BY21" s="1706"/>
      <c r="BZ21" s="1706">
        <v>100</v>
      </c>
      <c r="CA21" s="1706">
        <v>100</v>
      </c>
      <c r="CB21" s="1706">
        <v>100</v>
      </c>
      <c r="CC21" s="1706">
        <v>100</v>
      </c>
      <c r="CD21" s="1706">
        <v>100</v>
      </c>
      <c r="CE21" s="1706">
        <v>100</v>
      </c>
      <c r="CF21" s="1706">
        <v>100</v>
      </c>
      <c r="CG21" s="1706">
        <v>100</v>
      </c>
      <c r="CH21" s="1706">
        <v>100</v>
      </c>
      <c r="CI21" s="1706">
        <v>100</v>
      </c>
      <c r="CJ21" s="1706">
        <v>100</v>
      </c>
    </row>
    <row r="22" spans="1:88" s="249" customFormat="1" ht="55.5" customHeight="1">
      <c r="A22" s="1257">
        <v>14</v>
      </c>
      <c r="B22" s="1279" t="s">
        <v>791</v>
      </c>
      <c r="C22" s="1260">
        <v>315</v>
      </c>
      <c r="D22" s="1724">
        <f t="shared" si="24"/>
        <v>4.2112299465240643E-2</v>
      </c>
      <c r="E22" s="1258"/>
      <c r="F22" s="1258"/>
      <c r="G22" s="1258"/>
      <c r="H22" s="1258"/>
      <c r="I22" s="1258"/>
      <c r="J22" s="1258"/>
      <c r="K22" s="1258"/>
      <c r="L22" s="1258"/>
      <c r="M22" s="1258"/>
      <c r="N22" s="1258"/>
      <c r="O22" s="1258"/>
      <c r="P22" s="1258"/>
      <c r="Q22" s="1258"/>
      <c r="R22" s="1258"/>
      <c r="S22" s="1258"/>
      <c r="T22" s="1258"/>
      <c r="U22" s="1258"/>
      <c r="V22" s="1258"/>
      <c r="W22" s="1258"/>
      <c r="X22" s="1258"/>
      <c r="Y22" s="1258"/>
      <c r="Z22" s="1258"/>
      <c r="AA22" s="1258"/>
      <c r="AB22" s="1258"/>
      <c r="AC22" s="1258"/>
      <c r="AD22" s="1258"/>
      <c r="AE22" s="1258"/>
      <c r="AF22" s="1258"/>
      <c r="AG22" s="1258"/>
      <c r="AH22" s="1258"/>
      <c r="AI22" s="1258"/>
      <c r="AJ22" s="1258"/>
      <c r="AK22" s="1258"/>
      <c r="AL22" s="1258"/>
      <c r="AM22" s="1258"/>
      <c r="AN22" s="1258"/>
      <c r="AO22" s="1258"/>
      <c r="AP22" s="1258"/>
      <c r="AQ22" s="1258"/>
      <c r="AR22" s="1258"/>
      <c r="AS22" s="1258"/>
      <c r="AT22" s="1258"/>
      <c r="AU22" s="1258"/>
      <c r="AV22" s="1258"/>
      <c r="AW22" s="1258"/>
      <c r="AX22" s="1258"/>
      <c r="AY22" s="1258"/>
      <c r="AZ22" s="1258"/>
      <c r="BA22" s="1258"/>
      <c r="BB22" s="1258"/>
      <c r="BC22" s="1258"/>
      <c r="BD22" s="1259">
        <v>75</v>
      </c>
      <c r="BE22" s="1259">
        <v>100</v>
      </c>
      <c r="BF22" s="1258"/>
      <c r="BG22" s="1258"/>
      <c r="BH22" s="1258"/>
      <c r="BI22" s="1258"/>
      <c r="BJ22" s="1258"/>
      <c r="BK22" s="1258"/>
      <c r="BL22" s="1258"/>
      <c r="BM22" s="1258"/>
      <c r="BN22" s="1258"/>
      <c r="BO22" s="1258"/>
      <c r="BP22" s="1258"/>
      <c r="BQ22" s="1258"/>
      <c r="BR22" s="1258"/>
      <c r="BS22" s="1258"/>
      <c r="BT22" s="1258"/>
      <c r="BU22" s="1258"/>
      <c r="BV22" s="1258"/>
      <c r="BW22" s="1258"/>
      <c r="BX22" s="1258"/>
      <c r="BY22" s="1706"/>
      <c r="BZ22" s="1706">
        <v>100</v>
      </c>
      <c r="CA22" s="1706">
        <v>100</v>
      </c>
      <c r="CB22" s="1706">
        <v>100</v>
      </c>
      <c r="CC22" s="1706">
        <v>100</v>
      </c>
      <c r="CD22" s="1706">
        <v>100</v>
      </c>
      <c r="CE22" s="1706">
        <v>100</v>
      </c>
      <c r="CF22" s="1706">
        <v>100</v>
      </c>
      <c r="CG22" s="1706">
        <v>100</v>
      </c>
      <c r="CH22" s="1706">
        <v>100</v>
      </c>
      <c r="CI22" s="1706">
        <v>100</v>
      </c>
      <c r="CJ22" s="1706">
        <v>100</v>
      </c>
    </row>
    <row r="23" spans="1:88" s="249" customFormat="1" ht="45.75" customHeight="1">
      <c r="A23" s="1257">
        <v>15</v>
      </c>
      <c r="B23" s="1278" t="s">
        <v>792</v>
      </c>
      <c r="C23" s="1257">
        <v>287</v>
      </c>
      <c r="D23" s="1724">
        <f t="shared" si="24"/>
        <v>3.8368983957219251E-2</v>
      </c>
      <c r="E23" s="1258"/>
      <c r="F23" s="1258"/>
      <c r="G23" s="1258"/>
      <c r="H23" s="1258"/>
      <c r="I23" s="1258"/>
      <c r="J23" s="1258"/>
      <c r="K23" s="1258"/>
      <c r="L23" s="1258"/>
      <c r="M23" s="1258"/>
      <c r="N23" s="1258"/>
      <c r="O23" s="1258"/>
      <c r="P23" s="1258"/>
      <c r="Q23" s="1258"/>
      <c r="R23" s="1258"/>
      <c r="S23" s="1258"/>
      <c r="T23" s="1258"/>
      <c r="U23" s="1258"/>
      <c r="V23" s="1258"/>
      <c r="W23" s="1258"/>
      <c r="X23" s="1258"/>
      <c r="Y23" s="1258"/>
      <c r="Z23" s="1258"/>
      <c r="AA23" s="1258"/>
      <c r="AB23" s="1258"/>
      <c r="AC23" s="1258"/>
      <c r="AD23" s="1258"/>
      <c r="AE23" s="1258"/>
      <c r="AF23" s="1258"/>
      <c r="AG23" s="1258"/>
      <c r="AH23" s="1258"/>
      <c r="AI23" s="1258"/>
      <c r="AJ23" s="1258"/>
      <c r="AK23" s="1258"/>
      <c r="AL23" s="1258"/>
      <c r="AM23" s="1258"/>
      <c r="AN23" s="1258"/>
      <c r="AO23" s="1258"/>
      <c r="AP23" s="1258"/>
      <c r="AQ23" s="1258"/>
      <c r="AR23" s="1258"/>
      <c r="AS23" s="1258"/>
      <c r="AT23" s="1258"/>
      <c r="AU23" s="1258"/>
      <c r="AV23" s="1258"/>
      <c r="AW23" s="1258"/>
      <c r="AX23" s="1258"/>
      <c r="AY23" s="1258"/>
      <c r="AZ23" s="1258"/>
      <c r="BA23" s="1258"/>
      <c r="BB23" s="1258"/>
      <c r="BC23" s="1258"/>
      <c r="BD23" s="1258"/>
      <c r="BE23" s="1259">
        <v>75</v>
      </c>
      <c r="BF23" s="1259">
        <v>100</v>
      </c>
      <c r="BG23" s="1258"/>
      <c r="BH23" s="1258"/>
      <c r="BI23" s="1258"/>
      <c r="BJ23" s="1258"/>
      <c r="BK23" s="1258"/>
      <c r="BL23" s="1258"/>
      <c r="BM23" s="1258"/>
      <c r="BN23" s="1258"/>
      <c r="BO23" s="1258"/>
      <c r="BP23" s="1258"/>
      <c r="BQ23" s="1258"/>
      <c r="BR23" s="1258"/>
      <c r="BS23" s="1258"/>
      <c r="BT23" s="1258"/>
      <c r="BU23" s="1258"/>
      <c r="BV23" s="1258"/>
      <c r="BW23" s="1258"/>
      <c r="BX23" s="1258"/>
      <c r="BY23" s="1706"/>
      <c r="BZ23" s="1706">
        <v>100</v>
      </c>
      <c r="CA23" s="1706">
        <v>100</v>
      </c>
      <c r="CB23" s="1706">
        <v>100</v>
      </c>
      <c r="CC23" s="1706">
        <v>100</v>
      </c>
      <c r="CD23" s="1706">
        <v>100</v>
      </c>
      <c r="CE23" s="1706">
        <v>100</v>
      </c>
      <c r="CF23" s="1706">
        <v>100</v>
      </c>
      <c r="CG23" s="1706">
        <v>100</v>
      </c>
      <c r="CH23" s="1706">
        <v>100</v>
      </c>
      <c r="CI23" s="1706">
        <v>100</v>
      </c>
      <c r="CJ23" s="1706">
        <v>100</v>
      </c>
    </row>
    <row r="24" spans="1:88" s="249" customFormat="1" ht="60" customHeight="1">
      <c r="A24" s="1257">
        <v>16</v>
      </c>
      <c r="B24" s="1279" t="s">
        <v>1201</v>
      </c>
      <c r="C24" s="1260">
        <v>167</v>
      </c>
      <c r="D24" s="1724">
        <f t="shared" si="24"/>
        <v>2.2326203208556151E-2</v>
      </c>
      <c r="E24" s="1258"/>
      <c r="F24" s="1258"/>
      <c r="G24" s="1258"/>
      <c r="H24" s="1258"/>
      <c r="I24" s="1258"/>
      <c r="J24" s="1258"/>
      <c r="K24" s="1258"/>
      <c r="L24" s="1258"/>
      <c r="M24" s="1258"/>
      <c r="N24" s="1258"/>
      <c r="O24" s="1258"/>
      <c r="P24" s="1258"/>
      <c r="Q24" s="1258"/>
      <c r="R24" s="1258"/>
      <c r="S24" s="1258"/>
      <c r="T24" s="1258"/>
      <c r="U24" s="1258"/>
      <c r="V24" s="1258"/>
      <c r="W24" s="1258"/>
      <c r="X24" s="1258"/>
      <c r="Y24" s="1258"/>
      <c r="Z24" s="1258"/>
      <c r="AA24" s="1258"/>
      <c r="AB24" s="1258"/>
      <c r="AC24" s="1258"/>
      <c r="AD24" s="1258"/>
      <c r="AE24" s="1258"/>
      <c r="AF24" s="1258"/>
      <c r="AG24" s="1258"/>
      <c r="AH24" s="1258"/>
      <c r="AI24" s="1258"/>
      <c r="AJ24" s="1258"/>
      <c r="AK24" s="1258"/>
      <c r="AL24" s="1258"/>
      <c r="AM24" s="1258"/>
      <c r="AN24" s="1258"/>
      <c r="AO24" s="1258"/>
      <c r="AP24" s="1258"/>
      <c r="AQ24" s="1258"/>
      <c r="AR24" s="1258"/>
      <c r="AS24" s="1258"/>
      <c r="AT24" s="1258"/>
      <c r="AU24" s="1258"/>
      <c r="AV24" s="1258"/>
      <c r="AW24" s="1258"/>
      <c r="AX24" s="1258"/>
      <c r="AY24" s="1258"/>
      <c r="AZ24" s="1258"/>
      <c r="BA24" s="1258"/>
      <c r="BB24" s="1258"/>
      <c r="BC24" s="1258"/>
      <c r="BD24" s="1258"/>
      <c r="BE24" s="1258"/>
      <c r="BF24" s="1259">
        <v>75</v>
      </c>
      <c r="BG24" s="1259">
        <v>100</v>
      </c>
      <c r="BH24" s="1258"/>
      <c r="BI24" s="1258"/>
      <c r="BJ24" s="1258"/>
      <c r="BK24" s="1258"/>
      <c r="BL24" s="1258"/>
      <c r="BM24" s="1258"/>
      <c r="BN24" s="1258"/>
      <c r="BO24" s="1258"/>
      <c r="BP24" s="1258"/>
      <c r="BQ24" s="1258"/>
      <c r="BR24" s="1258"/>
      <c r="BS24" s="1258"/>
      <c r="BT24" s="1258"/>
      <c r="BU24" s="1258"/>
      <c r="BV24" s="1258"/>
      <c r="BW24" s="1258"/>
      <c r="BX24" s="1258"/>
      <c r="BY24" s="1706"/>
      <c r="BZ24" s="1706">
        <v>100</v>
      </c>
      <c r="CA24" s="1706">
        <v>100</v>
      </c>
      <c r="CB24" s="1706">
        <v>100</v>
      </c>
      <c r="CC24" s="1706">
        <v>100</v>
      </c>
      <c r="CD24" s="1706">
        <v>100</v>
      </c>
      <c r="CE24" s="1706">
        <v>100</v>
      </c>
      <c r="CF24" s="1706">
        <v>100</v>
      </c>
      <c r="CG24" s="1706">
        <v>100</v>
      </c>
      <c r="CH24" s="1706">
        <v>100</v>
      </c>
      <c r="CI24" s="1706">
        <v>100</v>
      </c>
      <c r="CJ24" s="1706">
        <v>100</v>
      </c>
    </row>
    <row r="25" spans="1:88" s="249" customFormat="1" ht="45.95" customHeight="1">
      <c r="A25" s="1257">
        <v>17</v>
      </c>
      <c r="B25" s="1278" t="s">
        <v>1202</v>
      </c>
      <c r="C25" s="1257">
        <v>330</v>
      </c>
      <c r="D25" s="1724">
        <f t="shared" si="24"/>
        <v>4.4117647058823532E-2</v>
      </c>
      <c r="E25" s="1258"/>
      <c r="F25" s="1258"/>
      <c r="G25" s="1258"/>
      <c r="H25" s="1258"/>
      <c r="I25" s="1258"/>
      <c r="J25" s="1258"/>
      <c r="K25" s="1258"/>
      <c r="L25" s="1258"/>
      <c r="M25" s="1258"/>
      <c r="N25" s="1258"/>
      <c r="O25" s="1258"/>
      <c r="P25" s="1258"/>
      <c r="Q25" s="1258"/>
      <c r="R25" s="1258"/>
      <c r="S25" s="1258"/>
      <c r="T25" s="1258"/>
      <c r="U25" s="1258"/>
      <c r="V25" s="1258"/>
      <c r="W25" s="1258"/>
      <c r="X25" s="1258"/>
      <c r="Y25" s="1258"/>
      <c r="Z25" s="1258"/>
      <c r="AA25" s="1258"/>
      <c r="AB25" s="1258"/>
      <c r="AC25" s="1258"/>
      <c r="AD25" s="1258"/>
      <c r="AE25" s="1258"/>
      <c r="AF25" s="1258"/>
      <c r="AG25" s="1258"/>
      <c r="AH25" s="1258"/>
      <c r="AI25" s="1258"/>
      <c r="AJ25" s="1258"/>
      <c r="AK25" s="1258"/>
      <c r="AL25" s="1258"/>
      <c r="AM25" s="1258"/>
      <c r="AN25" s="1258"/>
      <c r="AO25" s="1258"/>
      <c r="AP25" s="1258"/>
      <c r="AQ25" s="1258"/>
      <c r="AR25" s="1258"/>
      <c r="AS25" s="1258"/>
      <c r="AT25" s="1258"/>
      <c r="AU25" s="1258"/>
      <c r="AV25" s="1258"/>
      <c r="AW25" s="1258"/>
      <c r="AX25" s="1258"/>
      <c r="AY25" s="1258"/>
      <c r="AZ25" s="1258"/>
      <c r="BA25" s="1258"/>
      <c r="BB25" s="1258"/>
      <c r="BC25" s="1258"/>
      <c r="BD25" s="1258"/>
      <c r="BE25" s="1258"/>
      <c r="BF25" s="1258"/>
      <c r="BG25" s="1259">
        <v>50</v>
      </c>
      <c r="BH25" s="1259">
        <v>75</v>
      </c>
      <c r="BI25" s="1259">
        <v>100</v>
      </c>
      <c r="BJ25" s="1258"/>
      <c r="BK25" s="1258"/>
      <c r="BL25" s="1258"/>
      <c r="BM25" s="1258"/>
      <c r="BN25" s="1258"/>
      <c r="BO25" s="1258"/>
      <c r="BP25" s="1258"/>
      <c r="BQ25" s="1258"/>
      <c r="BR25" s="1258"/>
      <c r="BS25" s="1258"/>
      <c r="BT25" s="1258"/>
      <c r="BU25" s="1258"/>
      <c r="BV25" s="1258"/>
      <c r="BW25" s="1258"/>
      <c r="BX25" s="1258"/>
      <c r="BY25" s="1706"/>
      <c r="BZ25" s="1706">
        <v>100</v>
      </c>
      <c r="CA25" s="1706">
        <v>100</v>
      </c>
      <c r="CB25" s="1706">
        <v>100</v>
      </c>
      <c r="CC25" s="1706">
        <v>100</v>
      </c>
      <c r="CD25" s="1706">
        <v>100</v>
      </c>
      <c r="CE25" s="1706">
        <v>100</v>
      </c>
      <c r="CF25" s="1706">
        <v>100</v>
      </c>
      <c r="CG25" s="1706">
        <v>100</v>
      </c>
      <c r="CH25" s="1706">
        <v>100</v>
      </c>
      <c r="CI25" s="1706">
        <v>100</v>
      </c>
      <c r="CJ25" s="1706">
        <v>100</v>
      </c>
    </row>
    <row r="26" spans="1:88" s="249" customFormat="1" ht="45.95" customHeight="1">
      <c r="A26" s="1257">
        <v>18</v>
      </c>
      <c r="B26" s="1279" t="s">
        <v>1203</v>
      </c>
      <c r="C26" s="1260">
        <v>84</v>
      </c>
      <c r="D26" s="1724">
        <f t="shared" si="24"/>
        <v>1.1229946524064172E-2</v>
      </c>
      <c r="E26" s="1258"/>
      <c r="F26" s="1258"/>
      <c r="G26" s="1258"/>
      <c r="H26" s="1258"/>
      <c r="I26" s="1258"/>
      <c r="J26" s="1258"/>
      <c r="K26" s="1258"/>
      <c r="L26" s="1258"/>
      <c r="M26" s="1258"/>
      <c r="N26" s="1258"/>
      <c r="O26" s="1258"/>
      <c r="P26" s="1258"/>
      <c r="Q26" s="1258"/>
      <c r="R26" s="1258"/>
      <c r="S26" s="1258"/>
      <c r="T26" s="1258"/>
      <c r="U26" s="1258"/>
      <c r="V26" s="1258"/>
      <c r="W26" s="1258"/>
      <c r="X26" s="1258"/>
      <c r="Y26" s="1258"/>
      <c r="Z26" s="1258"/>
      <c r="AA26" s="1258"/>
      <c r="AB26" s="1258"/>
      <c r="AC26" s="1258"/>
      <c r="AD26" s="1258"/>
      <c r="AE26" s="1258"/>
      <c r="AF26" s="1258"/>
      <c r="AG26" s="1258"/>
      <c r="AH26" s="1258"/>
      <c r="AI26" s="1258"/>
      <c r="AJ26" s="1258"/>
      <c r="AK26" s="1258"/>
      <c r="AL26" s="1258"/>
      <c r="AM26" s="1258"/>
      <c r="AN26" s="1258"/>
      <c r="AO26" s="1258"/>
      <c r="AP26" s="1258"/>
      <c r="AQ26" s="1258"/>
      <c r="AR26" s="1258"/>
      <c r="AS26" s="1258"/>
      <c r="AT26" s="1258"/>
      <c r="AU26" s="1258"/>
      <c r="AV26" s="1258"/>
      <c r="AW26" s="1258"/>
      <c r="AX26" s="1258"/>
      <c r="AY26" s="1258"/>
      <c r="AZ26" s="1258"/>
      <c r="BA26" s="1258"/>
      <c r="BB26" s="1258"/>
      <c r="BC26" s="1258"/>
      <c r="BD26" s="1258"/>
      <c r="BE26" s="1258"/>
      <c r="BF26" s="1258"/>
      <c r="BG26" s="1258"/>
      <c r="BH26" s="1259">
        <v>50</v>
      </c>
      <c r="BI26" s="1259">
        <v>75</v>
      </c>
      <c r="BJ26" s="1259">
        <v>100</v>
      </c>
      <c r="BK26" s="1258"/>
      <c r="BL26" s="1258"/>
      <c r="BM26" s="1258"/>
      <c r="BN26" s="1258"/>
      <c r="BO26" s="1258"/>
      <c r="BP26" s="1258"/>
      <c r="BQ26" s="1258"/>
      <c r="BR26" s="1258"/>
      <c r="BS26" s="1258"/>
      <c r="BT26" s="1258"/>
      <c r="BU26" s="1258"/>
      <c r="BV26" s="1258"/>
      <c r="BW26" s="1258"/>
      <c r="BX26" s="1258"/>
      <c r="BY26" s="1706"/>
      <c r="BZ26" s="1706"/>
      <c r="CA26" s="1706"/>
      <c r="CB26" s="1706"/>
      <c r="CC26" s="1706"/>
      <c r="CD26" s="1706"/>
      <c r="CE26" s="1706"/>
      <c r="CF26" s="1706"/>
      <c r="CG26" s="1706"/>
      <c r="CH26" s="1706"/>
      <c r="CI26" s="1706"/>
      <c r="CJ26" s="1706"/>
    </row>
    <row r="27" spans="1:88" s="249" customFormat="1" ht="45.95" customHeight="1">
      <c r="A27" s="1257">
        <v>19</v>
      </c>
      <c r="B27" s="1278" t="s">
        <v>715</v>
      </c>
      <c r="C27" s="1257">
        <v>678</v>
      </c>
      <c r="D27" s="1724">
        <f t="shared" si="24"/>
        <v>9.064171122994652E-2</v>
      </c>
      <c r="E27" s="1258"/>
      <c r="F27" s="1258"/>
      <c r="G27" s="1258"/>
      <c r="H27" s="1258"/>
      <c r="I27" s="1258"/>
      <c r="J27" s="1258"/>
      <c r="K27" s="1258"/>
      <c r="L27" s="1258"/>
      <c r="M27" s="1258"/>
      <c r="N27" s="1258"/>
      <c r="O27" s="1258"/>
      <c r="P27" s="1258"/>
      <c r="Q27" s="1258"/>
      <c r="R27" s="1258"/>
      <c r="S27" s="1258"/>
      <c r="T27" s="1258"/>
      <c r="U27" s="1258"/>
      <c r="V27" s="1258"/>
      <c r="W27" s="1258"/>
      <c r="X27" s="1258"/>
      <c r="Y27" s="1258"/>
      <c r="Z27" s="1258"/>
      <c r="AA27" s="1258"/>
      <c r="AB27" s="1258"/>
      <c r="AC27" s="1258"/>
      <c r="AD27" s="1258"/>
      <c r="AE27" s="1258"/>
      <c r="AF27" s="1258"/>
      <c r="AG27" s="1258"/>
      <c r="AH27" s="1258"/>
      <c r="AI27" s="1258"/>
      <c r="AJ27" s="1258"/>
      <c r="AK27" s="1258"/>
      <c r="AL27" s="1258"/>
      <c r="AM27" s="1258"/>
      <c r="AN27" s="1258"/>
      <c r="AO27" s="1258"/>
      <c r="AP27" s="1258"/>
      <c r="AQ27" s="1258"/>
      <c r="AR27" s="1258"/>
      <c r="AS27" s="1258"/>
      <c r="AT27" s="1258"/>
      <c r="AU27" s="1258"/>
      <c r="AV27" s="1258"/>
      <c r="AW27" s="1258"/>
      <c r="AX27" s="1258"/>
      <c r="AY27" s="1258"/>
      <c r="AZ27" s="1258"/>
      <c r="BA27" s="1258"/>
      <c r="BB27" s="1258"/>
      <c r="BC27" s="1258"/>
      <c r="BD27" s="1258"/>
      <c r="BE27" s="1258"/>
      <c r="BF27" s="1258"/>
      <c r="BG27" s="1258"/>
      <c r="BH27" s="1258"/>
      <c r="BI27" s="1258"/>
      <c r="BJ27" s="1259">
        <v>50</v>
      </c>
      <c r="BK27" s="1259">
        <v>75</v>
      </c>
      <c r="BL27" s="1259">
        <v>100</v>
      </c>
      <c r="BM27" s="1258"/>
      <c r="BN27" s="1258"/>
      <c r="BO27" s="1258"/>
      <c r="BP27" s="1258"/>
      <c r="BQ27" s="1258"/>
      <c r="BR27" s="1258"/>
      <c r="BS27" s="1258"/>
      <c r="BT27" s="1258"/>
      <c r="BU27" s="1258"/>
      <c r="BV27" s="1258"/>
      <c r="BW27" s="1258"/>
      <c r="BX27" s="1258"/>
      <c r="BY27" s="1706"/>
      <c r="BZ27" s="1706">
        <v>100</v>
      </c>
      <c r="CA27" s="1706">
        <v>100</v>
      </c>
      <c r="CB27" s="1706">
        <v>100</v>
      </c>
      <c r="CC27" s="1706">
        <v>100</v>
      </c>
      <c r="CD27" s="1706">
        <v>100</v>
      </c>
      <c r="CE27" s="1706">
        <v>100</v>
      </c>
      <c r="CF27" s="1706">
        <v>100</v>
      </c>
      <c r="CG27" s="1706">
        <v>100</v>
      </c>
      <c r="CH27" s="1706">
        <v>100</v>
      </c>
      <c r="CI27" s="1706">
        <v>100</v>
      </c>
      <c r="CJ27" s="1706">
        <v>100</v>
      </c>
    </row>
    <row r="28" spans="1:88" s="249" customFormat="1" ht="45.95" customHeight="1">
      <c r="A28" s="1257">
        <v>20</v>
      </c>
      <c r="B28" s="1279" t="s">
        <v>793</v>
      </c>
      <c r="C28" s="1260">
        <v>740</v>
      </c>
      <c r="D28" s="1724">
        <f t="shared" si="24"/>
        <v>9.8930481283422467E-2</v>
      </c>
      <c r="E28" s="1258"/>
      <c r="F28" s="1258"/>
      <c r="G28" s="1258"/>
      <c r="H28" s="1258"/>
      <c r="I28" s="1258"/>
      <c r="J28" s="1258"/>
      <c r="K28" s="1258"/>
      <c r="L28" s="1258"/>
      <c r="M28" s="1258"/>
      <c r="N28" s="1258"/>
      <c r="O28" s="1258"/>
      <c r="P28" s="1258"/>
      <c r="Q28" s="1258"/>
      <c r="R28" s="1258"/>
      <c r="S28" s="1258"/>
      <c r="T28" s="1258"/>
      <c r="U28" s="1258"/>
      <c r="V28" s="1258"/>
      <c r="W28" s="1258"/>
      <c r="X28" s="1258"/>
      <c r="Y28" s="1258"/>
      <c r="Z28" s="1258"/>
      <c r="AA28" s="1258"/>
      <c r="AB28" s="1258"/>
      <c r="AC28" s="1258"/>
      <c r="AD28" s="1258"/>
      <c r="AE28" s="1258"/>
      <c r="AF28" s="1258"/>
      <c r="AG28" s="1258"/>
      <c r="AH28" s="1258"/>
      <c r="AI28" s="1258"/>
      <c r="AJ28" s="1258"/>
      <c r="AK28" s="1258"/>
      <c r="AL28" s="1258"/>
      <c r="AM28" s="1258"/>
      <c r="AN28" s="1258"/>
      <c r="AO28" s="1258"/>
      <c r="AP28" s="1258"/>
      <c r="AQ28" s="1258"/>
      <c r="AR28" s="1258"/>
      <c r="AS28" s="1258"/>
      <c r="AT28" s="1258"/>
      <c r="AU28" s="1258"/>
      <c r="AV28" s="1258"/>
      <c r="AW28" s="1258"/>
      <c r="AX28" s="1258"/>
      <c r="AY28" s="1258"/>
      <c r="AZ28" s="1258"/>
      <c r="BA28" s="1258"/>
      <c r="BB28" s="1258"/>
      <c r="BC28" s="1258"/>
      <c r="BD28" s="1258"/>
      <c r="BE28" s="1258"/>
      <c r="BF28" s="1258"/>
      <c r="BG28" s="1258"/>
      <c r="BH28" s="1258"/>
      <c r="BI28" s="1258"/>
      <c r="BJ28" s="1258"/>
      <c r="BK28" s="1258"/>
      <c r="BL28" s="1259">
        <v>75</v>
      </c>
      <c r="BM28" s="1259">
        <v>100</v>
      </c>
      <c r="BN28" s="1258"/>
      <c r="BO28" s="1258"/>
      <c r="BP28" s="1258"/>
      <c r="BQ28" s="1258"/>
      <c r="BR28" s="1258"/>
      <c r="BS28" s="1258"/>
      <c r="BT28" s="1258"/>
      <c r="BU28" s="1258"/>
      <c r="BV28" s="1258"/>
      <c r="BW28" s="1258"/>
      <c r="BX28" s="1258"/>
      <c r="BY28" s="1706"/>
      <c r="BZ28" s="1706">
        <v>100</v>
      </c>
      <c r="CA28" s="1706">
        <v>100</v>
      </c>
      <c r="CB28" s="1706">
        <v>100</v>
      </c>
      <c r="CC28" s="1706">
        <v>100</v>
      </c>
      <c r="CD28" s="1706">
        <v>100</v>
      </c>
      <c r="CE28" s="1706">
        <v>100</v>
      </c>
      <c r="CF28" s="1706">
        <v>100</v>
      </c>
      <c r="CG28" s="1706">
        <v>100</v>
      </c>
      <c r="CH28" s="1706">
        <v>100</v>
      </c>
      <c r="CI28" s="1706">
        <v>100</v>
      </c>
      <c r="CJ28" s="1706">
        <v>100</v>
      </c>
    </row>
    <row r="29" spans="1:88" s="249" customFormat="1" ht="45.95" customHeight="1">
      <c r="A29" s="1257">
        <v>21</v>
      </c>
      <c r="B29" s="1278" t="s">
        <v>794</v>
      </c>
      <c r="C29" s="1257">
        <v>182</v>
      </c>
      <c r="D29" s="1724">
        <f t="shared" si="24"/>
        <v>2.4331550802139036E-2</v>
      </c>
      <c r="E29" s="1258"/>
      <c r="F29" s="1258"/>
      <c r="G29" s="1258"/>
      <c r="H29" s="1258"/>
      <c r="I29" s="1258"/>
      <c r="J29" s="1258"/>
      <c r="K29" s="1258"/>
      <c r="L29" s="1258"/>
      <c r="M29" s="1258"/>
      <c r="N29" s="1258"/>
      <c r="O29" s="1258"/>
      <c r="P29" s="1258"/>
      <c r="Q29" s="1258"/>
      <c r="R29" s="1258"/>
      <c r="S29" s="1258"/>
      <c r="T29" s="1258"/>
      <c r="U29" s="1258"/>
      <c r="V29" s="1258"/>
      <c r="W29" s="1258"/>
      <c r="X29" s="1258"/>
      <c r="Y29" s="1258"/>
      <c r="Z29" s="1258"/>
      <c r="AA29" s="1258"/>
      <c r="AB29" s="1258"/>
      <c r="AC29" s="1258"/>
      <c r="AD29" s="1258"/>
      <c r="AE29" s="1258"/>
      <c r="AF29" s="1258"/>
      <c r="AG29" s="1258"/>
      <c r="AH29" s="1258"/>
      <c r="AI29" s="1258"/>
      <c r="AJ29" s="1258"/>
      <c r="AK29" s="1258"/>
      <c r="AL29" s="1258"/>
      <c r="AM29" s="1258"/>
      <c r="AN29" s="1258"/>
      <c r="AO29" s="1258"/>
      <c r="AP29" s="1258"/>
      <c r="AQ29" s="1258"/>
      <c r="AR29" s="1258"/>
      <c r="AS29" s="1258"/>
      <c r="AT29" s="1258"/>
      <c r="AU29" s="1258"/>
      <c r="AV29" s="1258"/>
      <c r="AW29" s="1258"/>
      <c r="AX29" s="1258"/>
      <c r="AY29" s="1258"/>
      <c r="AZ29" s="1258"/>
      <c r="BA29" s="1258"/>
      <c r="BB29" s="1258"/>
      <c r="BC29" s="1258"/>
      <c r="BD29" s="1258"/>
      <c r="BE29" s="1258"/>
      <c r="BF29" s="1258"/>
      <c r="BG29" s="1258"/>
      <c r="BH29" s="1258"/>
      <c r="BI29" s="1258"/>
      <c r="BJ29" s="1258"/>
      <c r="BK29" s="1258"/>
      <c r="BL29" s="1259">
        <v>50</v>
      </c>
      <c r="BM29" s="1259">
        <v>75</v>
      </c>
      <c r="BN29" s="1259">
        <v>100</v>
      </c>
      <c r="BO29" s="1258"/>
      <c r="BP29" s="1258"/>
      <c r="BQ29" s="1258"/>
      <c r="BR29" s="1258"/>
      <c r="BS29" s="1258"/>
      <c r="BT29" s="1258"/>
      <c r="BU29" s="1258"/>
      <c r="BV29" s="1258"/>
      <c r="BW29" s="1258"/>
      <c r="BX29" s="1258"/>
      <c r="BY29" s="1706"/>
      <c r="BZ29" s="1706"/>
      <c r="CA29" s="1706"/>
      <c r="CB29" s="1706"/>
      <c r="CC29" s="1706"/>
      <c r="CD29" s="1706"/>
      <c r="CE29" s="1706"/>
      <c r="CF29" s="1706"/>
      <c r="CG29" s="1706"/>
      <c r="CH29" s="1706"/>
      <c r="CI29" s="1706"/>
      <c r="CJ29" s="1706"/>
    </row>
    <row r="30" spans="1:88" s="249" customFormat="1" ht="45.95" customHeight="1">
      <c r="A30" s="1257">
        <v>22</v>
      </c>
      <c r="B30" s="1278" t="s">
        <v>1204</v>
      </c>
      <c r="C30" s="1257">
        <v>171</v>
      </c>
      <c r="D30" s="1724">
        <f t="shared" si="24"/>
        <v>2.286096256684492E-2</v>
      </c>
      <c r="E30" s="1258"/>
      <c r="F30" s="1258"/>
      <c r="G30" s="1258"/>
      <c r="H30" s="1258"/>
      <c r="I30" s="1258"/>
      <c r="J30" s="1258"/>
      <c r="K30" s="1258"/>
      <c r="L30" s="1258"/>
      <c r="M30" s="1258"/>
      <c r="N30" s="1258"/>
      <c r="O30" s="1258"/>
      <c r="P30" s="1258"/>
      <c r="Q30" s="1258"/>
      <c r="R30" s="1258"/>
      <c r="S30" s="1258"/>
      <c r="T30" s="1258"/>
      <c r="U30" s="1258"/>
      <c r="V30" s="1258"/>
      <c r="W30" s="1258"/>
      <c r="X30" s="1258"/>
      <c r="Y30" s="1258"/>
      <c r="Z30" s="1258"/>
      <c r="AA30" s="1258"/>
      <c r="AB30" s="1258"/>
      <c r="AC30" s="1258"/>
      <c r="AD30" s="1258"/>
      <c r="AE30" s="1258"/>
      <c r="AF30" s="1258"/>
      <c r="AG30" s="1258"/>
      <c r="AH30" s="1258"/>
      <c r="AI30" s="1258"/>
      <c r="AJ30" s="1258"/>
      <c r="AK30" s="1258"/>
      <c r="AL30" s="1258"/>
      <c r="AM30" s="1258"/>
      <c r="AN30" s="1258"/>
      <c r="AO30" s="1258"/>
      <c r="AP30" s="1258"/>
      <c r="AQ30" s="1258"/>
      <c r="AR30" s="1258"/>
      <c r="AS30" s="1258"/>
      <c r="AT30" s="1258"/>
      <c r="AU30" s="1258"/>
      <c r="AV30" s="1258"/>
      <c r="AW30" s="1258"/>
      <c r="AX30" s="1258"/>
      <c r="AY30" s="1258"/>
      <c r="AZ30" s="1258"/>
      <c r="BA30" s="1258"/>
      <c r="BB30" s="1258"/>
      <c r="BC30" s="1258"/>
      <c r="BD30" s="1258"/>
      <c r="BE30" s="1258"/>
      <c r="BF30" s="1258"/>
      <c r="BG30" s="1258"/>
      <c r="BH30" s="1258"/>
      <c r="BI30" s="1258"/>
      <c r="BJ30" s="1258"/>
      <c r="BK30" s="1258"/>
      <c r="BL30" s="1258"/>
      <c r="BM30" s="1258"/>
      <c r="BN30" s="1258"/>
      <c r="BO30" s="1259">
        <v>25</v>
      </c>
      <c r="BP30" s="1259">
        <v>50</v>
      </c>
      <c r="BQ30" s="1259">
        <v>75</v>
      </c>
      <c r="BR30" s="1259">
        <v>100</v>
      </c>
      <c r="BS30" s="1258"/>
      <c r="BT30" s="1258"/>
      <c r="BU30" s="1258"/>
      <c r="BV30" s="1258"/>
      <c r="BW30" s="1258"/>
      <c r="BX30" s="1258"/>
      <c r="BY30" s="1706"/>
      <c r="BZ30" s="1706">
        <v>100</v>
      </c>
      <c r="CA30" s="1706">
        <v>100</v>
      </c>
      <c r="CB30" s="1706">
        <v>100</v>
      </c>
      <c r="CC30" s="1706">
        <v>100</v>
      </c>
      <c r="CD30" s="1706">
        <v>100</v>
      </c>
      <c r="CE30" s="1706">
        <v>100</v>
      </c>
      <c r="CF30" s="1706">
        <v>100</v>
      </c>
      <c r="CG30" s="1706">
        <v>100</v>
      </c>
      <c r="CH30" s="1706">
        <v>100</v>
      </c>
      <c r="CI30" s="1706">
        <v>100</v>
      </c>
      <c r="CJ30" s="1706">
        <v>100</v>
      </c>
    </row>
    <row r="31" spans="1:88" s="249" customFormat="1" ht="40.5">
      <c r="A31" s="1257">
        <v>23</v>
      </c>
      <c r="B31" s="1279" t="s">
        <v>1205</v>
      </c>
      <c r="C31" s="1260">
        <v>193</v>
      </c>
      <c r="D31" s="1724">
        <f t="shared" si="24"/>
        <v>2.5802139037433156E-2</v>
      </c>
      <c r="E31" s="1258"/>
      <c r="F31" s="1258"/>
      <c r="G31" s="1258"/>
      <c r="H31" s="1258"/>
      <c r="I31" s="1258"/>
      <c r="J31" s="1258"/>
      <c r="K31" s="1258"/>
      <c r="L31" s="1258"/>
      <c r="M31" s="1258"/>
      <c r="N31" s="1258"/>
      <c r="O31" s="1258"/>
      <c r="P31" s="1258"/>
      <c r="Q31" s="1258"/>
      <c r="R31" s="1258"/>
      <c r="S31" s="1258"/>
      <c r="T31" s="1258"/>
      <c r="U31" s="1258"/>
      <c r="V31" s="1258"/>
      <c r="W31" s="1258"/>
      <c r="X31" s="1258"/>
      <c r="Y31" s="1258"/>
      <c r="Z31" s="1258"/>
      <c r="AA31" s="1258"/>
      <c r="AB31" s="1258"/>
      <c r="AC31" s="1258"/>
      <c r="AD31" s="1258"/>
      <c r="AE31" s="1258"/>
      <c r="AF31" s="1258"/>
      <c r="AG31" s="1258"/>
      <c r="AH31" s="1258"/>
      <c r="AI31" s="1258"/>
      <c r="AJ31" s="1258"/>
      <c r="AK31" s="1258"/>
      <c r="AL31" s="1258"/>
      <c r="AM31" s="1258"/>
      <c r="AN31" s="1258"/>
      <c r="AO31" s="1258"/>
      <c r="AP31" s="1258"/>
      <c r="AQ31" s="1258"/>
      <c r="AR31" s="1258"/>
      <c r="AS31" s="1258"/>
      <c r="AT31" s="1258"/>
      <c r="AU31" s="1258"/>
      <c r="AV31" s="1258"/>
      <c r="AW31" s="1258"/>
      <c r="AX31" s="1258"/>
      <c r="AY31" s="1258"/>
      <c r="AZ31" s="1258"/>
      <c r="BA31" s="1258"/>
      <c r="BB31" s="1258"/>
      <c r="BC31" s="1258"/>
      <c r="BD31" s="1258"/>
      <c r="BE31" s="1258"/>
      <c r="BF31" s="1258"/>
      <c r="BG31" s="1258"/>
      <c r="BH31" s="1258"/>
      <c r="BI31" s="1258"/>
      <c r="BJ31" s="1258"/>
      <c r="BK31" s="1258"/>
      <c r="BL31" s="1258"/>
      <c r="BM31" s="1258"/>
      <c r="BN31" s="1258"/>
      <c r="BO31" s="1258"/>
      <c r="BP31" s="1258"/>
      <c r="BQ31" s="1258"/>
      <c r="BR31" s="1259">
        <v>75</v>
      </c>
      <c r="BS31" s="1259">
        <v>100</v>
      </c>
      <c r="BT31" s="1258"/>
      <c r="BU31" s="1258"/>
      <c r="BV31" s="1258"/>
      <c r="BW31" s="1258"/>
      <c r="BX31" s="1258"/>
      <c r="BY31" s="1706"/>
      <c r="BZ31" s="1706">
        <v>100</v>
      </c>
      <c r="CA31" s="1706">
        <v>100</v>
      </c>
      <c r="CB31" s="1706">
        <v>100</v>
      </c>
      <c r="CC31" s="1706">
        <v>100</v>
      </c>
      <c r="CD31" s="1706">
        <v>100</v>
      </c>
      <c r="CE31" s="1706">
        <v>100</v>
      </c>
      <c r="CF31" s="1706">
        <v>100</v>
      </c>
      <c r="CG31" s="1706">
        <v>100</v>
      </c>
      <c r="CH31" s="1706">
        <v>100</v>
      </c>
      <c r="CI31" s="1706">
        <v>100</v>
      </c>
      <c r="CJ31" s="1706">
        <v>100</v>
      </c>
    </row>
    <row r="32" spans="1:88" s="249" customFormat="1" ht="40.5">
      <c r="A32" s="1257">
        <v>24</v>
      </c>
      <c r="B32" s="1278" t="s">
        <v>716</v>
      </c>
      <c r="C32" s="1257">
        <v>340</v>
      </c>
      <c r="D32" s="1724">
        <f t="shared" si="24"/>
        <v>4.5454545454545456E-2</v>
      </c>
      <c r="E32" s="1258"/>
      <c r="F32" s="1258"/>
      <c r="G32" s="1258"/>
      <c r="H32" s="1258"/>
      <c r="I32" s="1258"/>
      <c r="J32" s="1258"/>
      <c r="K32" s="1258"/>
      <c r="L32" s="1258"/>
      <c r="M32" s="1258"/>
      <c r="N32" s="1258"/>
      <c r="O32" s="1258"/>
      <c r="P32" s="1258"/>
      <c r="Q32" s="1258"/>
      <c r="R32" s="1258"/>
      <c r="S32" s="1258"/>
      <c r="T32" s="1258"/>
      <c r="U32" s="1258"/>
      <c r="V32" s="1258"/>
      <c r="W32" s="1258"/>
      <c r="X32" s="1258"/>
      <c r="Y32" s="1258"/>
      <c r="Z32" s="1258"/>
      <c r="AA32" s="1258"/>
      <c r="AB32" s="1258"/>
      <c r="AC32" s="1258"/>
      <c r="AD32" s="1258"/>
      <c r="AE32" s="1258"/>
      <c r="AF32" s="1258"/>
      <c r="AG32" s="1258"/>
      <c r="AH32" s="1258"/>
      <c r="AI32" s="1258"/>
      <c r="AJ32" s="1258"/>
      <c r="AK32" s="1258"/>
      <c r="AL32" s="1258"/>
      <c r="AM32" s="1258"/>
      <c r="AN32" s="1258"/>
      <c r="AO32" s="1258"/>
      <c r="AP32" s="1258"/>
      <c r="AQ32" s="1258"/>
      <c r="AR32" s="1258"/>
      <c r="AS32" s="1258"/>
      <c r="AT32" s="1258"/>
      <c r="AU32" s="1258"/>
      <c r="AV32" s="1258"/>
      <c r="AW32" s="1258"/>
      <c r="AX32" s="1258"/>
      <c r="AY32" s="1258"/>
      <c r="AZ32" s="1258"/>
      <c r="BA32" s="1258"/>
      <c r="BB32" s="1258"/>
      <c r="BC32" s="1258"/>
      <c r="BD32" s="1258"/>
      <c r="BE32" s="1258"/>
      <c r="BF32" s="1258"/>
      <c r="BG32" s="1258"/>
      <c r="BH32" s="1258"/>
      <c r="BI32" s="1258"/>
      <c r="BJ32" s="1258"/>
      <c r="BK32" s="1258"/>
      <c r="BL32" s="1258"/>
      <c r="BM32" s="1258"/>
      <c r="BN32" s="1258"/>
      <c r="BO32" s="1258"/>
      <c r="BP32" s="1258"/>
      <c r="BQ32" s="1258"/>
      <c r="BR32" s="1258"/>
      <c r="BS32" s="1259">
        <v>75</v>
      </c>
      <c r="BT32" s="1259">
        <v>100</v>
      </c>
      <c r="BU32" s="1258"/>
      <c r="BV32" s="1258"/>
      <c r="BW32" s="1258"/>
      <c r="BX32" s="1258"/>
      <c r="BY32" s="1706"/>
      <c r="BZ32" s="1706">
        <v>100</v>
      </c>
      <c r="CA32" s="1706">
        <v>100</v>
      </c>
      <c r="CB32" s="1706">
        <v>100</v>
      </c>
      <c r="CC32" s="1706">
        <v>100</v>
      </c>
      <c r="CD32" s="1706">
        <v>100</v>
      </c>
      <c r="CE32" s="1706">
        <v>100</v>
      </c>
      <c r="CF32" s="1706">
        <v>100</v>
      </c>
      <c r="CG32" s="1706">
        <v>100</v>
      </c>
      <c r="CH32" s="1706">
        <v>100</v>
      </c>
      <c r="CI32" s="1706">
        <v>100</v>
      </c>
      <c r="CJ32" s="1706">
        <v>100</v>
      </c>
    </row>
    <row r="33" spans="1:88" s="249" customFormat="1" ht="40.5">
      <c r="A33" s="1257">
        <v>25</v>
      </c>
      <c r="B33" s="1279" t="s">
        <v>795</v>
      </c>
      <c r="C33" s="1260">
        <v>348</v>
      </c>
      <c r="D33" s="1724">
        <f t="shared" si="24"/>
        <v>4.6524064171122995E-2</v>
      </c>
      <c r="E33" s="1258"/>
      <c r="F33" s="1258"/>
      <c r="G33" s="1258"/>
      <c r="H33" s="1258"/>
      <c r="I33" s="1258"/>
      <c r="J33" s="1258"/>
      <c r="K33" s="1258"/>
      <c r="L33" s="1258"/>
      <c r="M33" s="1258"/>
      <c r="N33" s="1258"/>
      <c r="O33" s="1258"/>
      <c r="P33" s="1258"/>
      <c r="Q33" s="1258"/>
      <c r="R33" s="1258"/>
      <c r="S33" s="1258"/>
      <c r="T33" s="1258"/>
      <c r="U33" s="1258"/>
      <c r="V33" s="1258"/>
      <c r="W33" s="1258"/>
      <c r="X33" s="1258"/>
      <c r="Y33" s="1258"/>
      <c r="Z33" s="1258"/>
      <c r="AA33" s="1258"/>
      <c r="AB33" s="1258"/>
      <c r="AC33" s="1258"/>
      <c r="AD33" s="1258"/>
      <c r="AE33" s="1258"/>
      <c r="AF33" s="1258"/>
      <c r="AG33" s="1258"/>
      <c r="AH33" s="1258"/>
      <c r="AI33" s="1258"/>
      <c r="AJ33" s="1258"/>
      <c r="AK33" s="1258"/>
      <c r="AL33" s="1258"/>
      <c r="AM33" s="1258"/>
      <c r="AN33" s="1258"/>
      <c r="AO33" s="1258"/>
      <c r="AP33" s="1258"/>
      <c r="AQ33" s="1258"/>
      <c r="AR33" s="1258"/>
      <c r="AS33" s="1258"/>
      <c r="AT33" s="1258"/>
      <c r="AU33" s="1258"/>
      <c r="AV33" s="1258"/>
      <c r="AW33" s="1258"/>
      <c r="AX33" s="1258"/>
      <c r="AY33" s="1258"/>
      <c r="AZ33" s="1258"/>
      <c r="BA33" s="1258"/>
      <c r="BB33" s="1258"/>
      <c r="BC33" s="1258"/>
      <c r="BD33" s="1258"/>
      <c r="BE33" s="1258"/>
      <c r="BF33" s="1258"/>
      <c r="BG33" s="1258"/>
      <c r="BH33" s="1258"/>
      <c r="BI33" s="1258"/>
      <c r="BJ33" s="1258"/>
      <c r="BK33" s="1258"/>
      <c r="BL33" s="1258"/>
      <c r="BM33" s="1258"/>
      <c r="BN33" s="1258"/>
      <c r="BO33" s="1258"/>
      <c r="BP33" s="1258"/>
      <c r="BQ33" s="1258"/>
      <c r="BR33" s="1258"/>
      <c r="BS33" s="1259">
        <v>75</v>
      </c>
      <c r="BT33" s="1259">
        <v>100</v>
      </c>
      <c r="BU33" s="1258"/>
      <c r="BV33" s="1258"/>
      <c r="BW33" s="1258"/>
      <c r="BX33" s="1258"/>
      <c r="BY33" s="1706"/>
      <c r="BZ33" s="1706">
        <v>100</v>
      </c>
      <c r="CA33" s="1706">
        <v>100</v>
      </c>
      <c r="CB33" s="1706">
        <v>100</v>
      </c>
      <c r="CC33" s="1706">
        <v>100</v>
      </c>
      <c r="CD33" s="1706">
        <v>100</v>
      </c>
      <c r="CE33" s="1706">
        <v>100</v>
      </c>
      <c r="CF33" s="1706">
        <v>100</v>
      </c>
      <c r="CG33" s="1706">
        <v>100</v>
      </c>
      <c r="CH33" s="1706">
        <v>100</v>
      </c>
      <c r="CI33" s="1706">
        <v>100</v>
      </c>
      <c r="CJ33" s="1706">
        <v>100</v>
      </c>
    </row>
    <row r="34" spans="1:88" s="249" customFormat="1" ht="45.95" customHeight="1">
      <c r="A34" s="1257">
        <v>26</v>
      </c>
      <c r="B34" s="1278" t="s">
        <v>796</v>
      </c>
      <c r="C34" s="1257">
        <v>168</v>
      </c>
      <c r="D34" s="1724">
        <f t="shared" si="24"/>
        <v>2.2459893048128343E-2</v>
      </c>
      <c r="E34" s="1258"/>
      <c r="F34" s="1258"/>
      <c r="G34" s="1258"/>
      <c r="H34" s="1258"/>
      <c r="I34" s="1258"/>
      <c r="J34" s="1258"/>
      <c r="K34" s="1258"/>
      <c r="L34" s="1258"/>
      <c r="M34" s="1258"/>
      <c r="N34" s="1258"/>
      <c r="O34" s="1258"/>
      <c r="P34" s="1258"/>
      <c r="Q34" s="1258"/>
      <c r="R34" s="1258"/>
      <c r="S34" s="1258"/>
      <c r="T34" s="1258"/>
      <c r="U34" s="1258"/>
      <c r="V34" s="1258"/>
      <c r="W34" s="1258"/>
      <c r="X34" s="1258"/>
      <c r="Y34" s="1258"/>
      <c r="Z34" s="1258"/>
      <c r="AA34" s="1258"/>
      <c r="AB34" s="1258"/>
      <c r="AC34" s="1258"/>
      <c r="AD34" s="1258"/>
      <c r="AE34" s="1258"/>
      <c r="AF34" s="1258"/>
      <c r="AG34" s="1258"/>
      <c r="AH34" s="1258"/>
      <c r="AI34" s="1258"/>
      <c r="AJ34" s="1258"/>
      <c r="AK34" s="1258"/>
      <c r="AL34" s="1258"/>
      <c r="AM34" s="1258"/>
      <c r="AN34" s="1258"/>
      <c r="AO34" s="1258"/>
      <c r="AP34" s="1258"/>
      <c r="AQ34" s="1258"/>
      <c r="AR34" s="1258"/>
      <c r="AS34" s="1258"/>
      <c r="AT34" s="1258"/>
      <c r="AU34" s="1258"/>
      <c r="AV34" s="1258"/>
      <c r="AW34" s="1258"/>
      <c r="AX34" s="1258"/>
      <c r="AY34" s="1258"/>
      <c r="AZ34" s="1258"/>
      <c r="BA34" s="1258"/>
      <c r="BB34" s="1258"/>
      <c r="BC34" s="1258"/>
      <c r="BD34" s="1258"/>
      <c r="BE34" s="1258"/>
      <c r="BF34" s="1258"/>
      <c r="BG34" s="1258"/>
      <c r="BH34" s="1258"/>
      <c r="BI34" s="1258"/>
      <c r="BJ34" s="1258"/>
      <c r="BK34" s="1258"/>
      <c r="BL34" s="1258"/>
      <c r="BM34" s="1258"/>
      <c r="BN34" s="1258"/>
      <c r="BO34" s="1258"/>
      <c r="BP34" s="1258"/>
      <c r="BQ34" s="1258"/>
      <c r="BR34" s="1258"/>
      <c r="BS34" s="1258"/>
      <c r="BT34" s="1259">
        <v>75</v>
      </c>
      <c r="BU34" s="1259">
        <v>100</v>
      </c>
      <c r="BV34" s="1258"/>
      <c r="BW34" s="1258"/>
      <c r="BX34" s="1258"/>
      <c r="BY34" s="1706"/>
      <c r="BZ34" s="1706">
        <v>100</v>
      </c>
      <c r="CA34" s="1706">
        <v>100</v>
      </c>
      <c r="CB34" s="1706">
        <v>100</v>
      </c>
      <c r="CC34" s="1706">
        <v>100</v>
      </c>
      <c r="CD34" s="1706">
        <v>100</v>
      </c>
      <c r="CE34" s="1706">
        <v>100</v>
      </c>
      <c r="CF34" s="1706">
        <v>100</v>
      </c>
      <c r="CG34" s="1706">
        <v>100</v>
      </c>
      <c r="CH34" s="1706">
        <v>100</v>
      </c>
      <c r="CI34" s="1706">
        <v>100</v>
      </c>
      <c r="CJ34" s="1706">
        <v>100</v>
      </c>
    </row>
    <row r="35" spans="1:88" s="249" customFormat="1" ht="45.95" customHeight="1">
      <c r="A35" s="1257">
        <v>27</v>
      </c>
      <c r="B35" s="1279" t="s">
        <v>717</v>
      </c>
      <c r="C35" s="1260">
        <v>180</v>
      </c>
      <c r="D35" s="1724">
        <f t="shared" si="24"/>
        <v>2.4064171122994651E-2</v>
      </c>
      <c r="E35" s="1258"/>
      <c r="F35" s="1258"/>
      <c r="G35" s="1258"/>
      <c r="H35" s="1258"/>
      <c r="I35" s="1258"/>
      <c r="J35" s="1258"/>
      <c r="K35" s="1258"/>
      <c r="L35" s="1258"/>
      <c r="M35" s="1258"/>
      <c r="N35" s="1258"/>
      <c r="O35" s="1258"/>
      <c r="P35" s="1258"/>
      <c r="Q35" s="1258"/>
      <c r="R35" s="1258"/>
      <c r="S35" s="1258"/>
      <c r="T35" s="1258"/>
      <c r="U35" s="1258"/>
      <c r="V35" s="1258"/>
      <c r="W35" s="1258"/>
      <c r="X35" s="1258"/>
      <c r="Y35" s="1258"/>
      <c r="Z35" s="1258"/>
      <c r="AA35" s="1258"/>
      <c r="AB35" s="1258"/>
      <c r="AC35" s="1258"/>
      <c r="AD35" s="1258"/>
      <c r="AE35" s="1258"/>
      <c r="AF35" s="1258"/>
      <c r="AG35" s="1258"/>
      <c r="AH35" s="1258"/>
      <c r="AI35" s="1258"/>
      <c r="AJ35" s="1258"/>
      <c r="AK35" s="1258"/>
      <c r="AL35" s="1258"/>
      <c r="AM35" s="1258"/>
      <c r="AN35" s="1258"/>
      <c r="AO35" s="1258"/>
      <c r="AP35" s="1258"/>
      <c r="AQ35" s="1258"/>
      <c r="AR35" s="1258"/>
      <c r="AS35" s="1258"/>
      <c r="AT35" s="1258"/>
      <c r="AU35" s="1258"/>
      <c r="AV35" s="1258"/>
      <c r="AW35" s="1258"/>
      <c r="AX35" s="1258"/>
      <c r="AY35" s="1258"/>
      <c r="AZ35" s="1258"/>
      <c r="BA35" s="1258"/>
      <c r="BB35" s="1258"/>
      <c r="BC35" s="1258"/>
      <c r="BD35" s="1258"/>
      <c r="BE35" s="1258"/>
      <c r="BF35" s="1258"/>
      <c r="BG35" s="1258"/>
      <c r="BH35" s="1258"/>
      <c r="BI35" s="1258"/>
      <c r="BJ35" s="1258"/>
      <c r="BK35" s="1258"/>
      <c r="BL35" s="1258"/>
      <c r="BM35" s="1258"/>
      <c r="BN35" s="1258"/>
      <c r="BO35" s="1258"/>
      <c r="BP35" s="1258"/>
      <c r="BQ35" s="1258"/>
      <c r="BR35" s="1258"/>
      <c r="BS35" s="1258"/>
      <c r="BT35" s="1258"/>
      <c r="BU35" s="1259">
        <v>75</v>
      </c>
      <c r="BV35" s="1259">
        <v>100</v>
      </c>
      <c r="BW35" s="1258"/>
      <c r="BX35" s="1258"/>
      <c r="BY35" s="1706"/>
      <c r="BZ35" s="1706">
        <v>100</v>
      </c>
      <c r="CA35" s="1706">
        <v>100</v>
      </c>
      <c r="CB35" s="1706">
        <v>100</v>
      </c>
      <c r="CC35" s="1706">
        <v>100</v>
      </c>
      <c r="CD35" s="1706">
        <v>100</v>
      </c>
      <c r="CE35" s="1706">
        <v>100</v>
      </c>
      <c r="CF35" s="1706">
        <v>100</v>
      </c>
      <c r="CG35" s="1706">
        <v>100</v>
      </c>
      <c r="CH35" s="1706">
        <v>100</v>
      </c>
      <c r="CI35" s="1706">
        <v>100</v>
      </c>
      <c r="CJ35" s="1706">
        <v>100</v>
      </c>
    </row>
    <row r="36" spans="1:88" s="249" customFormat="1" ht="50.25" customHeight="1">
      <c r="A36" s="1257">
        <v>28</v>
      </c>
      <c r="B36" s="1278" t="s">
        <v>797</v>
      </c>
      <c r="C36" s="1257">
        <v>178</v>
      </c>
      <c r="D36" s="1724">
        <f t="shared" si="24"/>
        <v>2.3796791443850267E-2</v>
      </c>
      <c r="E36" s="1258"/>
      <c r="F36" s="1258"/>
      <c r="G36" s="1258"/>
      <c r="H36" s="1258"/>
      <c r="I36" s="1258"/>
      <c r="J36" s="1258"/>
      <c r="K36" s="1258"/>
      <c r="L36" s="1258"/>
      <c r="M36" s="1258"/>
      <c r="N36" s="1258"/>
      <c r="O36" s="1258"/>
      <c r="P36" s="1258"/>
      <c r="Q36" s="1258"/>
      <c r="R36" s="1258"/>
      <c r="S36" s="1258"/>
      <c r="T36" s="1258"/>
      <c r="U36" s="1258"/>
      <c r="V36" s="1258"/>
      <c r="W36" s="1258"/>
      <c r="X36" s="1258"/>
      <c r="Y36" s="1258"/>
      <c r="Z36" s="1258"/>
      <c r="AA36" s="1258"/>
      <c r="AB36" s="1258"/>
      <c r="AC36" s="1258"/>
      <c r="AD36" s="1258"/>
      <c r="AE36" s="1258"/>
      <c r="AF36" s="1258"/>
      <c r="AG36" s="1258"/>
      <c r="AH36" s="1258"/>
      <c r="AI36" s="1258"/>
      <c r="AJ36" s="1258"/>
      <c r="AK36" s="1258"/>
      <c r="AL36" s="1258"/>
      <c r="AM36" s="1258"/>
      <c r="AN36" s="1258"/>
      <c r="AO36" s="1258"/>
      <c r="AP36" s="1258"/>
      <c r="AQ36" s="1258"/>
      <c r="AR36" s="1258"/>
      <c r="AS36" s="1258"/>
      <c r="AT36" s="1258"/>
      <c r="AU36" s="1258"/>
      <c r="AV36" s="1258"/>
      <c r="AW36" s="1258"/>
      <c r="AX36" s="1258"/>
      <c r="AY36" s="1258"/>
      <c r="AZ36" s="1258"/>
      <c r="BA36" s="1258"/>
      <c r="BB36" s="1258"/>
      <c r="BC36" s="1258"/>
      <c r="BD36" s="1258"/>
      <c r="BE36" s="1258"/>
      <c r="BF36" s="1258"/>
      <c r="BG36" s="1258"/>
      <c r="BH36" s="1258"/>
      <c r="BI36" s="1258"/>
      <c r="BJ36" s="1258"/>
      <c r="BK36" s="1258"/>
      <c r="BL36" s="1258"/>
      <c r="BM36" s="1258"/>
      <c r="BN36" s="1258"/>
      <c r="BO36" s="1258"/>
      <c r="BP36" s="1258"/>
      <c r="BQ36" s="1258"/>
      <c r="BR36" s="1258"/>
      <c r="BS36" s="1258"/>
      <c r="BT36" s="1258"/>
      <c r="BU36" s="1259">
        <v>50</v>
      </c>
      <c r="BV36" s="1259">
        <v>75</v>
      </c>
      <c r="BW36" s="1259">
        <v>100</v>
      </c>
      <c r="BX36" s="1258"/>
      <c r="BY36" s="1706"/>
      <c r="BZ36" s="1706"/>
      <c r="CA36" s="1706"/>
      <c r="CB36" s="1706"/>
      <c r="CC36" s="1706"/>
      <c r="CD36" s="1706"/>
      <c r="CE36" s="1706"/>
      <c r="CF36" s="1706"/>
      <c r="CG36" s="1706"/>
      <c r="CH36" s="1706"/>
      <c r="CI36" s="1706"/>
      <c r="CJ36" s="1706"/>
    </row>
    <row r="37" spans="1:88" s="249" customFormat="1" ht="45.95" customHeight="1">
      <c r="A37" s="1257">
        <v>29</v>
      </c>
      <c r="B37" s="1279" t="s">
        <v>718</v>
      </c>
      <c r="C37" s="1260">
        <v>165</v>
      </c>
      <c r="D37" s="1724">
        <f t="shared" si="24"/>
        <v>2.2058823529411766E-2</v>
      </c>
      <c r="E37" s="1258"/>
      <c r="F37" s="1258"/>
      <c r="G37" s="1258"/>
      <c r="H37" s="1258"/>
      <c r="I37" s="1258"/>
      <c r="J37" s="1258"/>
      <c r="K37" s="1258"/>
      <c r="L37" s="1258"/>
      <c r="M37" s="1258"/>
      <c r="N37" s="1258"/>
      <c r="O37" s="1258"/>
      <c r="P37" s="1258"/>
      <c r="Q37" s="1258"/>
      <c r="R37" s="1258"/>
      <c r="S37" s="1258"/>
      <c r="T37" s="1258"/>
      <c r="U37" s="1258"/>
      <c r="V37" s="1258"/>
      <c r="W37" s="1258"/>
      <c r="X37" s="1258"/>
      <c r="Y37" s="1258"/>
      <c r="Z37" s="1258"/>
      <c r="AA37" s="1258"/>
      <c r="AB37" s="1258"/>
      <c r="AC37" s="1258"/>
      <c r="AD37" s="1258"/>
      <c r="AE37" s="1258"/>
      <c r="AF37" s="1258"/>
      <c r="AG37" s="1258"/>
      <c r="AH37" s="1258"/>
      <c r="AI37" s="1258"/>
      <c r="AJ37" s="1258"/>
      <c r="AK37" s="1258"/>
      <c r="AL37" s="1258"/>
      <c r="AM37" s="1258"/>
      <c r="AN37" s="1258"/>
      <c r="AO37" s="1258"/>
      <c r="AP37" s="1258"/>
      <c r="AQ37" s="1258"/>
      <c r="AR37" s="1258"/>
      <c r="AS37" s="1258"/>
      <c r="AT37" s="1258"/>
      <c r="AU37" s="1258"/>
      <c r="AV37" s="1258"/>
      <c r="AW37" s="1258"/>
      <c r="AX37" s="1258"/>
      <c r="AY37" s="1258"/>
      <c r="AZ37" s="1258"/>
      <c r="BA37" s="1258"/>
      <c r="BB37" s="1258"/>
      <c r="BC37" s="1258"/>
      <c r="BD37" s="1258"/>
      <c r="BE37" s="1258"/>
      <c r="BF37" s="1258"/>
      <c r="BG37" s="1258"/>
      <c r="BH37" s="1258"/>
      <c r="BI37" s="1258"/>
      <c r="BJ37" s="1258"/>
      <c r="BK37" s="1258"/>
      <c r="BL37" s="1258"/>
      <c r="BM37" s="1258"/>
      <c r="BN37" s="1258"/>
      <c r="BO37" s="1258"/>
      <c r="BP37" s="1258"/>
      <c r="BQ37" s="1258"/>
      <c r="BR37" s="1258"/>
      <c r="BS37" s="1258"/>
      <c r="BT37" s="1258"/>
      <c r="BU37" s="1258"/>
      <c r="BV37" s="1258"/>
      <c r="BW37" s="1259">
        <v>75</v>
      </c>
      <c r="BX37" s="1259">
        <v>100</v>
      </c>
      <c r="BY37" s="1706"/>
      <c r="BZ37" s="1706">
        <v>100</v>
      </c>
      <c r="CA37" s="1706">
        <v>100</v>
      </c>
      <c r="CB37" s="1706">
        <v>100</v>
      </c>
      <c r="CC37" s="1706">
        <v>100</v>
      </c>
      <c r="CD37" s="1706">
        <v>100</v>
      </c>
      <c r="CE37" s="1706">
        <v>100</v>
      </c>
      <c r="CF37" s="1706">
        <v>100</v>
      </c>
      <c r="CG37" s="1706">
        <v>100</v>
      </c>
      <c r="CH37" s="1706">
        <v>100</v>
      </c>
      <c r="CI37" s="1706">
        <v>100</v>
      </c>
      <c r="CJ37" s="1706">
        <v>100</v>
      </c>
    </row>
    <row r="38" spans="1:88" s="249" customFormat="1" ht="45.95" customHeight="1">
      <c r="A38" s="1257">
        <v>30</v>
      </c>
      <c r="B38" s="1278" t="s">
        <v>798</v>
      </c>
      <c r="C38" s="1257">
        <v>262</v>
      </c>
      <c r="D38" s="1724">
        <f t="shared" si="24"/>
        <v>3.5026737967914438E-2</v>
      </c>
      <c r="E38" s="1258"/>
      <c r="F38" s="1258"/>
      <c r="G38" s="1258"/>
      <c r="H38" s="1258"/>
      <c r="I38" s="1258"/>
      <c r="J38" s="1258"/>
      <c r="K38" s="1258"/>
      <c r="L38" s="1258"/>
      <c r="M38" s="1258"/>
      <c r="N38" s="1258"/>
      <c r="O38" s="1258"/>
      <c r="P38" s="1258"/>
      <c r="Q38" s="1258"/>
      <c r="R38" s="1258"/>
      <c r="S38" s="1258"/>
      <c r="T38" s="1258"/>
      <c r="U38" s="1258"/>
      <c r="V38" s="1258"/>
      <c r="W38" s="1258"/>
      <c r="X38" s="1258"/>
      <c r="Y38" s="1258"/>
      <c r="Z38" s="1258"/>
      <c r="AA38" s="1258"/>
      <c r="AB38" s="1258"/>
      <c r="AC38" s="1258"/>
      <c r="AD38" s="1258"/>
      <c r="AE38" s="1258"/>
      <c r="AF38" s="1258"/>
      <c r="AG38" s="1258"/>
      <c r="AH38" s="1258"/>
      <c r="AI38" s="1258"/>
      <c r="AJ38" s="1258"/>
      <c r="AK38" s="1258"/>
      <c r="AL38" s="1258"/>
      <c r="AM38" s="1258"/>
      <c r="AN38" s="1258"/>
      <c r="AO38" s="1258"/>
      <c r="AP38" s="1258"/>
      <c r="AQ38" s="1258"/>
      <c r="AR38" s="1258"/>
      <c r="AS38" s="1258"/>
      <c r="AT38" s="1258"/>
      <c r="AU38" s="1258"/>
      <c r="AV38" s="1258"/>
      <c r="AW38" s="1258"/>
      <c r="AX38" s="1258"/>
      <c r="AY38" s="1258"/>
      <c r="AZ38" s="1258"/>
      <c r="BA38" s="1258"/>
      <c r="BB38" s="1258"/>
      <c r="BC38" s="1258"/>
      <c r="BD38" s="1258"/>
      <c r="BE38" s="1258"/>
      <c r="BF38" s="1258"/>
      <c r="BG38" s="1258"/>
      <c r="BH38" s="1258"/>
      <c r="BI38" s="1258"/>
      <c r="BJ38" s="1258"/>
      <c r="BK38" s="1258"/>
      <c r="BL38" s="1258"/>
      <c r="BM38" s="1258"/>
      <c r="BN38" s="1258"/>
      <c r="BO38" s="1259">
        <v>10</v>
      </c>
      <c r="BP38" s="1259">
        <v>20</v>
      </c>
      <c r="BQ38" s="1259">
        <v>30</v>
      </c>
      <c r="BR38" s="1259">
        <v>40</v>
      </c>
      <c r="BS38" s="1259">
        <v>50</v>
      </c>
      <c r="BT38" s="1259">
        <v>60</v>
      </c>
      <c r="BU38" s="1259">
        <v>70</v>
      </c>
      <c r="BV38" s="1259">
        <v>90</v>
      </c>
      <c r="BW38" s="1259">
        <v>100</v>
      </c>
      <c r="BX38" s="1258"/>
      <c r="BY38" s="1706"/>
      <c r="BZ38" s="1706">
        <v>100</v>
      </c>
      <c r="CA38" s="1706">
        <v>100</v>
      </c>
      <c r="CB38" s="1706">
        <v>100</v>
      </c>
      <c r="CC38" s="1706">
        <v>100</v>
      </c>
      <c r="CD38" s="1706">
        <v>100</v>
      </c>
      <c r="CE38" s="1706">
        <v>100</v>
      </c>
      <c r="CF38" s="1706">
        <v>100</v>
      </c>
      <c r="CG38" s="1706">
        <v>100</v>
      </c>
      <c r="CH38" s="1706">
        <v>100</v>
      </c>
      <c r="CI38" s="1706">
        <v>100</v>
      </c>
      <c r="CJ38" s="1706">
        <v>100</v>
      </c>
    </row>
    <row r="39" spans="1:88" s="249" customFormat="1" ht="45.95" customHeight="1">
      <c r="A39" s="1238"/>
      <c r="B39" s="1280"/>
      <c r="C39" s="1260"/>
      <c r="D39" s="1724"/>
      <c r="E39" s="1258"/>
      <c r="F39" s="1258"/>
      <c r="G39" s="1258"/>
      <c r="H39" s="1258"/>
      <c r="I39" s="1258"/>
      <c r="J39" s="1258"/>
      <c r="K39" s="1258"/>
      <c r="L39" s="1258"/>
      <c r="M39" s="1258"/>
      <c r="N39" s="1258"/>
      <c r="O39" s="1258"/>
      <c r="P39" s="1258"/>
      <c r="Q39" s="1258"/>
      <c r="R39" s="1258"/>
      <c r="S39" s="1258"/>
      <c r="T39" s="1258"/>
      <c r="U39" s="1258"/>
      <c r="V39" s="1258"/>
      <c r="W39" s="1258"/>
      <c r="X39" s="1258"/>
      <c r="Y39" s="1258"/>
      <c r="Z39" s="1258"/>
      <c r="AA39" s="1258"/>
      <c r="AB39" s="1258"/>
      <c r="AC39" s="1258"/>
      <c r="AD39" s="1258"/>
      <c r="AE39" s="1258"/>
      <c r="AF39" s="1258"/>
      <c r="AG39" s="1258"/>
      <c r="AH39" s="1258"/>
      <c r="AI39" s="1258"/>
      <c r="AJ39" s="1258"/>
      <c r="AK39" s="1258"/>
      <c r="AL39" s="1258"/>
      <c r="AM39" s="1258"/>
      <c r="AN39" s="1258"/>
      <c r="AO39" s="1258"/>
      <c r="AP39" s="1258"/>
      <c r="AQ39" s="1258"/>
      <c r="AR39" s="1258"/>
      <c r="AS39" s="1258"/>
      <c r="AT39" s="1258"/>
      <c r="AU39" s="1258"/>
      <c r="AV39" s="1258"/>
      <c r="AW39" s="1258"/>
      <c r="AX39" s="1258"/>
      <c r="AY39" s="1258"/>
      <c r="AZ39" s="1258"/>
      <c r="BA39" s="1258"/>
      <c r="BB39" s="1258"/>
      <c r="BC39" s="1258"/>
      <c r="BD39" s="1258"/>
      <c r="BE39" s="1258"/>
      <c r="BF39" s="1258"/>
      <c r="BG39" s="1258"/>
      <c r="BH39" s="1258"/>
      <c r="BI39" s="1258"/>
      <c r="BJ39" s="1258"/>
      <c r="BK39" s="1258"/>
      <c r="BL39" s="1258"/>
      <c r="BM39" s="1258"/>
      <c r="BN39" s="1258"/>
      <c r="BO39" s="1258"/>
      <c r="BP39" s="1258"/>
      <c r="BQ39" s="1258"/>
      <c r="BR39" s="1258"/>
      <c r="BS39" s="1258"/>
      <c r="BT39" s="1258"/>
      <c r="BU39" s="1258"/>
      <c r="BV39" s="1258"/>
      <c r="BW39" s="1258"/>
      <c r="BX39" s="1258"/>
      <c r="BY39" s="1706"/>
      <c r="BZ39" s="1706"/>
      <c r="CA39" s="1706"/>
      <c r="CB39" s="1706"/>
      <c r="CC39" s="1706"/>
      <c r="CD39" s="1706"/>
      <c r="CE39" s="1706"/>
      <c r="CF39" s="1706"/>
      <c r="CG39" s="1706"/>
      <c r="CH39" s="1706"/>
      <c r="CI39" s="1706"/>
      <c r="CJ39" s="1706"/>
    </row>
    <row r="40" spans="1:88" s="249" customFormat="1" ht="45.95" customHeight="1">
      <c r="A40" s="1238"/>
      <c r="B40" s="1281" t="s">
        <v>536</v>
      </c>
      <c r="C40" s="1260">
        <f>SUM(C9:C38)</f>
        <v>7480</v>
      </c>
      <c r="D40" s="1724">
        <f>SUM(D9:D39)</f>
        <v>0.99999999999999978</v>
      </c>
      <c r="E40" s="1238"/>
      <c r="F40" s="1238"/>
      <c r="G40" s="1238"/>
      <c r="H40" s="1238"/>
      <c r="I40" s="1238"/>
      <c r="J40" s="1238"/>
      <c r="K40" s="1238"/>
      <c r="L40" s="1238"/>
      <c r="M40" s="1238"/>
      <c r="N40" s="1238"/>
      <c r="O40" s="1238"/>
      <c r="P40" s="1238"/>
      <c r="Q40" s="1238"/>
      <c r="R40" s="1238"/>
      <c r="S40" s="1238"/>
      <c r="T40" s="1238"/>
      <c r="U40" s="1238"/>
      <c r="V40" s="1238"/>
      <c r="W40" s="1238"/>
      <c r="X40" s="1238"/>
      <c r="Y40" s="1238"/>
      <c r="Z40" s="1238"/>
      <c r="AA40" s="1238"/>
      <c r="AB40" s="1238"/>
      <c r="AC40" s="1238"/>
      <c r="AD40" s="1238"/>
      <c r="AE40" s="1238"/>
      <c r="AF40" s="1238"/>
      <c r="AG40" s="1238"/>
      <c r="AH40" s="1238"/>
      <c r="AI40" s="1706"/>
      <c r="AJ40" s="1724">
        <v>0.03</v>
      </c>
      <c r="AK40" s="1724">
        <v>0.06</v>
      </c>
      <c r="AL40" s="1724">
        <v>0.09</v>
      </c>
      <c r="AM40" s="1724">
        <v>0.12</v>
      </c>
      <c r="AN40" s="1724">
        <v>0.15</v>
      </c>
      <c r="AO40" s="1724">
        <v>0.18</v>
      </c>
      <c r="AP40" s="1724">
        <v>0.21</v>
      </c>
      <c r="AQ40" s="1724">
        <v>0.23</v>
      </c>
      <c r="AR40" s="1724">
        <v>0.25</v>
      </c>
      <c r="AS40" s="1724">
        <v>0.28000000000000003</v>
      </c>
      <c r="AT40" s="1724">
        <v>0.3</v>
      </c>
      <c r="AU40" s="1724">
        <v>0.33</v>
      </c>
      <c r="AV40" s="1724">
        <v>0.36</v>
      </c>
      <c r="AW40" s="1724">
        <v>0.39</v>
      </c>
      <c r="AX40" s="1724">
        <v>0.42</v>
      </c>
      <c r="AY40" s="1724">
        <v>0.45</v>
      </c>
      <c r="AZ40" s="1724">
        <v>0.47</v>
      </c>
      <c r="BA40" s="1724">
        <v>0.49</v>
      </c>
      <c r="BB40" s="1724">
        <v>0.52</v>
      </c>
      <c r="BC40" s="1724">
        <v>0.55000000000000004</v>
      </c>
      <c r="BD40" s="1724">
        <v>0.57999999999999996</v>
      </c>
      <c r="BE40" s="1724">
        <v>0.61</v>
      </c>
      <c r="BF40" s="1724">
        <v>0.64</v>
      </c>
      <c r="BG40" s="1724">
        <v>0.66</v>
      </c>
      <c r="BH40" s="1724">
        <v>0.69</v>
      </c>
      <c r="BI40" s="1724">
        <v>0.72</v>
      </c>
      <c r="BJ40" s="1724">
        <v>0.75</v>
      </c>
      <c r="BK40" s="1724">
        <v>0.77</v>
      </c>
      <c r="BL40" s="1724">
        <v>0.79</v>
      </c>
      <c r="BM40" s="1724">
        <v>0.82</v>
      </c>
      <c r="BN40" s="1724">
        <v>0.84</v>
      </c>
      <c r="BO40" s="1724">
        <v>0.86</v>
      </c>
      <c r="BP40" s="1724">
        <v>0.88</v>
      </c>
      <c r="BQ40" s="1724">
        <v>0.9</v>
      </c>
      <c r="BR40" s="1724">
        <v>0.92</v>
      </c>
      <c r="BS40" s="1724">
        <v>0.94</v>
      </c>
      <c r="BT40" s="1724">
        <v>0.96</v>
      </c>
      <c r="BU40" s="1724">
        <v>0.98</v>
      </c>
      <c r="BV40" s="1724">
        <v>0.99</v>
      </c>
      <c r="BW40" s="1724">
        <v>1</v>
      </c>
      <c r="BX40" s="1258"/>
      <c r="BY40" s="1706"/>
      <c r="BZ40" s="1706"/>
      <c r="CA40" s="1706"/>
      <c r="CB40" s="1706"/>
      <c r="CC40" s="1706"/>
      <c r="CD40" s="1706"/>
      <c r="CE40" s="1706"/>
      <c r="CF40" s="1706"/>
      <c r="CG40" s="1706"/>
      <c r="CH40" s="1706"/>
      <c r="CI40" s="1706"/>
      <c r="CJ40" s="1706"/>
    </row>
    <row r="41" spans="1:88" s="249" customFormat="1" ht="45.95" customHeight="1" thickBot="1">
      <c r="A41" s="1238"/>
      <c r="B41" s="1281" t="s">
        <v>537</v>
      </c>
      <c r="C41" s="1260"/>
      <c r="D41" s="1725"/>
      <c r="E41" s="1726"/>
      <c r="F41" s="1726"/>
      <c r="G41" s="1726"/>
      <c r="H41" s="1726"/>
      <c r="I41" s="1726"/>
      <c r="J41" s="1726"/>
      <c r="K41" s="1726"/>
      <c r="L41" s="1726"/>
      <c r="M41" s="1726"/>
      <c r="N41" s="1726"/>
      <c r="O41" s="1726"/>
      <c r="P41" s="1726"/>
      <c r="Q41" s="1726"/>
      <c r="R41" s="1726"/>
      <c r="S41" s="1726"/>
      <c r="T41" s="1726"/>
      <c r="U41" s="1726"/>
      <c r="V41" s="1726"/>
      <c r="W41" s="1726"/>
      <c r="X41" s="1726"/>
      <c r="Y41" s="1726"/>
      <c r="Z41" s="1726"/>
      <c r="AA41" s="1726"/>
      <c r="AB41" s="1726"/>
      <c r="AC41" s="1726"/>
      <c r="AD41" s="1726"/>
      <c r="AE41" s="1726"/>
      <c r="AF41" s="1726"/>
      <c r="AG41" s="1726"/>
      <c r="AH41" s="1726"/>
      <c r="AI41" s="1726"/>
      <c r="AJ41" s="1724">
        <v>0.03</v>
      </c>
      <c r="AK41" s="1724">
        <v>0.03</v>
      </c>
      <c r="AL41" s="1724">
        <v>0.03</v>
      </c>
      <c r="AM41" s="1724">
        <v>0.03</v>
      </c>
      <c r="AN41" s="1724">
        <v>0.03</v>
      </c>
      <c r="AO41" s="1724">
        <v>0.03</v>
      </c>
      <c r="AP41" s="1724">
        <v>0.03</v>
      </c>
      <c r="AQ41" s="1724">
        <v>0.02</v>
      </c>
      <c r="AR41" s="1724">
        <v>0.02</v>
      </c>
      <c r="AS41" s="1724">
        <v>0.03</v>
      </c>
      <c r="AT41" s="1724">
        <v>0.03</v>
      </c>
      <c r="AU41" s="1724">
        <v>0.03</v>
      </c>
      <c r="AV41" s="1724">
        <v>0.03</v>
      </c>
      <c r="AW41" s="1724">
        <v>0.03</v>
      </c>
      <c r="AX41" s="1724">
        <v>0.03</v>
      </c>
      <c r="AY41" s="1724">
        <v>0.03</v>
      </c>
      <c r="AZ41" s="1724">
        <v>0.02</v>
      </c>
      <c r="BA41" s="1724">
        <v>0.02</v>
      </c>
      <c r="BB41" s="1724">
        <v>0.03</v>
      </c>
      <c r="BC41" s="1724">
        <v>0.03</v>
      </c>
      <c r="BD41" s="1724">
        <v>0.03</v>
      </c>
      <c r="BE41" s="1724">
        <v>0.03</v>
      </c>
      <c r="BF41" s="1724">
        <v>0.03</v>
      </c>
      <c r="BG41" s="1724">
        <v>0.02</v>
      </c>
      <c r="BH41" s="1724">
        <v>0.03</v>
      </c>
      <c r="BI41" s="1724">
        <v>0.03</v>
      </c>
      <c r="BJ41" s="1724">
        <v>0.03</v>
      </c>
      <c r="BK41" s="1724">
        <v>0.02</v>
      </c>
      <c r="BL41" s="1724">
        <v>0.02</v>
      </c>
      <c r="BM41" s="1724">
        <v>0.02</v>
      </c>
      <c r="BN41" s="1724">
        <v>0.03</v>
      </c>
      <c r="BO41" s="1724">
        <v>0.02</v>
      </c>
      <c r="BP41" s="1724">
        <v>0.02</v>
      </c>
      <c r="BQ41" s="1724">
        <v>0.02</v>
      </c>
      <c r="BR41" s="1724">
        <v>0.02</v>
      </c>
      <c r="BS41" s="1724">
        <v>0.02</v>
      </c>
      <c r="BT41" s="1724">
        <v>0.02</v>
      </c>
      <c r="BU41" s="1724">
        <v>0.01</v>
      </c>
      <c r="BV41" s="1724">
        <v>0.01</v>
      </c>
      <c r="BW41" s="1724">
        <v>0.01</v>
      </c>
      <c r="BX41" s="1258"/>
      <c r="BY41" s="1727"/>
      <c r="BZ41" s="1727"/>
      <c r="CA41" s="1727"/>
      <c r="CB41" s="1727"/>
      <c r="CC41" s="1727"/>
      <c r="CD41" s="1727"/>
      <c r="CE41" s="1727"/>
      <c r="CF41" s="1727"/>
      <c r="CG41" s="1727"/>
      <c r="CH41" s="1727"/>
      <c r="CI41" s="1727"/>
      <c r="CJ41" s="1728"/>
    </row>
    <row r="42" spans="1:88" s="249" customFormat="1" ht="45.95" customHeight="1">
      <c r="A42" s="1729"/>
      <c r="B42" s="1282" t="s">
        <v>772</v>
      </c>
      <c r="C42" s="1730" t="s">
        <v>1206</v>
      </c>
      <c r="D42" s="1731"/>
      <c r="E42" s="1732"/>
      <c r="F42" s="1732"/>
      <c r="G42" s="1732"/>
      <c r="H42" s="1732"/>
      <c r="I42" s="1732"/>
      <c r="J42" s="1732"/>
      <c r="K42" s="1732"/>
      <c r="L42" s="1732"/>
      <c r="M42" s="1732"/>
      <c r="N42" s="1732"/>
      <c r="O42" s="1732"/>
      <c r="P42" s="1733"/>
      <c r="Q42" s="1733"/>
      <c r="R42" s="1733"/>
      <c r="S42" s="1733"/>
      <c r="T42" s="1733"/>
      <c r="U42" s="1733"/>
      <c r="V42" s="1733"/>
      <c r="W42" s="1733"/>
      <c r="X42" s="1733"/>
      <c r="Y42" s="1733"/>
      <c r="Z42" s="1733"/>
      <c r="AA42" s="1733"/>
      <c r="AB42" s="1733"/>
      <c r="AC42" s="1733"/>
      <c r="AD42" s="1733"/>
      <c r="AE42" s="1733"/>
      <c r="AF42" s="1733"/>
      <c r="AG42" s="1733"/>
      <c r="AH42" s="1733"/>
      <c r="AI42" s="1733"/>
      <c r="AJ42" s="1734">
        <v>17</v>
      </c>
      <c r="AK42" s="1734">
        <v>17</v>
      </c>
      <c r="AL42" s="1734">
        <v>17</v>
      </c>
      <c r="AM42" s="1734">
        <v>17</v>
      </c>
      <c r="AN42" s="1734">
        <v>17</v>
      </c>
      <c r="AO42" s="1734">
        <v>17</v>
      </c>
      <c r="AP42" s="1734">
        <v>17</v>
      </c>
      <c r="AQ42" s="1734">
        <v>17</v>
      </c>
      <c r="AR42" s="1734">
        <v>17</v>
      </c>
      <c r="AS42" s="1734">
        <v>17</v>
      </c>
      <c r="AT42" s="1734">
        <v>17</v>
      </c>
      <c r="AU42" s="1734">
        <v>17</v>
      </c>
      <c r="AV42" s="1734">
        <v>17</v>
      </c>
      <c r="AW42" s="1734">
        <v>17</v>
      </c>
      <c r="AX42" s="1734">
        <v>17</v>
      </c>
      <c r="AY42" s="1734">
        <v>17</v>
      </c>
      <c r="AZ42" s="1734">
        <v>17</v>
      </c>
      <c r="BA42" s="1734">
        <v>17</v>
      </c>
      <c r="BB42" s="1734">
        <v>17</v>
      </c>
      <c r="BC42" s="1734">
        <v>17</v>
      </c>
      <c r="BD42" s="1734">
        <v>17</v>
      </c>
      <c r="BE42" s="1734">
        <v>17</v>
      </c>
      <c r="BF42" s="1734">
        <v>17</v>
      </c>
      <c r="BG42" s="1734">
        <v>17</v>
      </c>
      <c r="BH42" s="1734">
        <v>17</v>
      </c>
      <c r="BI42" s="1734">
        <v>17</v>
      </c>
      <c r="BJ42" s="1734">
        <v>17</v>
      </c>
      <c r="BK42" s="1734">
        <v>17</v>
      </c>
      <c r="BL42" s="1734">
        <v>17</v>
      </c>
      <c r="BM42" s="1734">
        <v>17</v>
      </c>
      <c r="BN42" s="1734">
        <v>17</v>
      </c>
      <c r="BO42" s="1734">
        <v>17</v>
      </c>
      <c r="BP42" s="1734">
        <v>17</v>
      </c>
      <c r="BQ42" s="1734">
        <v>17</v>
      </c>
      <c r="BR42" s="1734">
        <v>17</v>
      </c>
      <c r="BS42" s="1734">
        <v>17</v>
      </c>
      <c r="BT42" s="1734">
        <v>17</v>
      </c>
      <c r="BU42" s="1734">
        <v>17</v>
      </c>
      <c r="BV42" s="1734">
        <v>17</v>
      </c>
      <c r="BW42" s="1734">
        <v>17</v>
      </c>
      <c r="BX42" s="1258"/>
      <c r="BY42" s="1735"/>
      <c r="BZ42" s="1735"/>
      <c r="CA42" s="1735"/>
      <c r="CB42" s="1735"/>
      <c r="CC42" s="1735"/>
      <c r="CD42" s="1735"/>
      <c r="CE42" s="1735"/>
      <c r="CF42" s="1735"/>
      <c r="CG42" s="1735"/>
      <c r="CH42" s="1735"/>
      <c r="CI42" s="1735"/>
      <c r="CJ42" s="1735"/>
    </row>
    <row r="43" spans="1:88" s="249" customFormat="1" ht="45.95" customHeight="1">
      <c r="A43" s="1736"/>
      <c r="B43" s="1283">
        <f>'№2.1.Монтаж БУ'!B58</f>
        <v>0</v>
      </c>
      <c r="C43" s="1737" t="s">
        <v>774</v>
      </c>
      <c r="D43" s="1738"/>
      <c r="E43" s="1739"/>
      <c r="F43" s="1739"/>
      <c r="G43" s="1739"/>
      <c r="H43" s="1739"/>
      <c r="I43" s="1739"/>
      <c r="J43" s="1739"/>
      <c r="K43" s="1739"/>
      <c r="L43" s="1739"/>
      <c r="M43" s="1739"/>
      <c r="N43" s="1739"/>
      <c r="O43" s="1739"/>
      <c r="P43" s="1740"/>
      <c r="Q43" s="1740"/>
      <c r="R43" s="1740"/>
      <c r="S43" s="1740"/>
      <c r="T43" s="1740"/>
      <c r="U43" s="1740"/>
      <c r="V43" s="1740"/>
      <c r="W43" s="1740"/>
      <c r="X43" s="1740"/>
      <c r="Y43" s="1740"/>
      <c r="Z43" s="1740"/>
      <c r="AA43" s="1740"/>
      <c r="AB43" s="1740"/>
      <c r="AC43" s="1740"/>
      <c r="AD43" s="1740"/>
      <c r="AE43" s="1740"/>
      <c r="AF43" s="1740"/>
      <c r="AG43" s="1740"/>
      <c r="AH43" s="1740"/>
      <c r="AI43" s="1740"/>
      <c r="AJ43" s="1741">
        <v>1</v>
      </c>
      <c r="AK43" s="1741">
        <v>1</v>
      </c>
      <c r="AL43" s="1741">
        <v>1</v>
      </c>
      <c r="AM43" s="1741">
        <v>1</v>
      </c>
      <c r="AN43" s="1741">
        <v>1</v>
      </c>
      <c r="AO43" s="1741">
        <v>1</v>
      </c>
      <c r="AP43" s="1741">
        <v>1</v>
      </c>
      <c r="AQ43" s="1741">
        <v>1</v>
      </c>
      <c r="AR43" s="1741">
        <v>1</v>
      </c>
      <c r="AS43" s="1741">
        <v>1</v>
      </c>
      <c r="AT43" s="1741">
        <v>1</v>
      </c>
      <c r="AU43" s="1741">
        <v>1</v>
      </c>
      <c r="AV43" s="1741">
        <v>1</v>
      </c>
      <c r="AW43" s="1741">
        <v>1</v>
      </c>
      <c r="AX43" s="1741">
        <v>1</v>
      </c>
      <c r="AY43" s="1741">
        <v>1</v>
      </c>
      <c r="AZ43" s="1741">
        <v>1</v>
      </c>
      <c r="BA43" s="1741">
        <v>1</v>
      </c>
      <c r="BB43" s="1741">
        <v>1</v>
      </c>
      <c r="BC43" s="1741">
        <v>1</v>
      </c>
      <c r="BD43" s="1741">
        <v>1</v>
      </c>
      <c r="BE43" s="1741">
        <v>1</v>
      </c>
      <c r="BF43" s="1741">
        <v>1</v>
      </c>
      <c r="BG43" s="1741">
        <v>1</v>
      </c>
      <c r="BH43" s="1741">
        <v>1</v>
      </c>
      <c r="BI43" s="1741">
        <v>1</v>
      </c>
      <c r="BJ43" s="1741">
        <v>1</v>
      </c>
      <c r="BK43" s="1741">
        <v>1</v>
      </c>
      <c r="BL43" s="1741">
        <v>1</v>
      </c>
      <c r="BM43" s="1741">
        <v>1</v>
      </c>
      <c r="BN43" s="1741">
        <v>1</v>
      </c>
      <c r="BO43" s="1741">
        <v>1</v>
      </c>
      <c r="BP43" s="1741">
        <v>1</v>
      </c>
      <c r="BQ43" s="1741">
        <v>1</v>
      </c>
      <c r="BR43" s="1741">
        <v>1</v>
      </c>
      <c r="BS43" s="1741">
        <v>1</v>
      </c>
      <c r="BT43" s="1741">
        <v>1</v>
      </c>
      <c r="BU43" s="1741">
        <v>1</v>
      </c>
      <c r="BV43" s="1741">
        <v>1</v>
      </c>
      <c r="BW43" s="1741">
        <v>1</v>
      </c>
      <c r="BX43" s="1258"/>
      <c r="BY43" s="1735"/>
      <c r="BZ43" s="1735"/>
      <c r="CA43" s="1735"/>
      <c r="CB43" s="1735"/>
      <c r="CC43" s="1735"/>
      <c r="CD43" s="1735"/>
      <c r="CE43" s="1735"/>
      <c r="CF43" s="1735"/>
      <c r="CG43" s="1735"/>
      <c r="CH43" s="1735"/>
      <c r="CI43" s="1735"/>
      <c r="CJ43" s="1735"/>
    </row>
    <row r="44" spans="1:88" s="249" customFormat="1" ht="45.95" customHeight="1">
      <c r="A44" s="1736"/>
      <c r="B44" s="1283">
        <f>'№2.1.Монтаж БУ'!B59</f>
        <v>0</v>
      </c>
      <c r="C44" s="1737" t="s">
        <v>1207</v>
      </c>
      <c r="D44" s="1738"/>
      <c r="E44" s="1739"/>
      <c r="F44" s="1739"/>
      <c r="G44" s="1739"/>
      <c r="H44" s="1739"/>
      <c r="I44" s="1739"/>
      <c r="J44" s="1739"/>
      <c r="K44" s="1739"/>
      <c r="L44" s="1739"/>
      <c r="M44" s="1739"/>
      <c r="N44" s="1739"/>
      <c r="O44" s="1739"/>
      <c r="P44" s="1739"/>
      <c r="Q44" s="1739"/>
      <c r="R44" s="1739"/>
      <c r="S44" s="1739"/>
      <c r="T44" s="1739"/>
      <c r="U44" s="1739"/>
      <c r="V44" s="1739"/>
      <c r="W44" s="1739"/>
      <c r="X44" s="1739"/>
      <c r="Y44" s="1739"/>
      <c r="Z44" s="1739"/>
      <c r="AA44" s="1739"/>
      <c r="AB44" s="1739"/>
      <c r="AC44" s="1739"/>
      <c r="AD44" s="1739"/>
      <c r="AE44" s="1739"/>
      <c r="AF44" s="1739"/>
      <c r="AG44" s="1739"/>
      <c r="AH44" s="1739"/>
      <c r="AI44" s="1739"/>
      <c r="AJ44" s="1741">
        <v>2</v>
      </c>
      <c r="AK44" s="1741">
        <v>2</v>
      </c>
      <c r="AL44" s="1741">
        <v>2</v>
      </c>
      <c r="AM44" s="1741">
        <v>2</v>
      </c>
      <c r="AN44" s="1741">
        <v>2</v>
      </c>
      <c r="AO44" s="1741">
        <v>2</v>
      </c>
      <c r="AP44" s="1741">
        <v>2</v>
      </c>
      <c r="AQ44" s="1741">
        <v>2</v>
      </c>
      <c r="AR44" s="1741">
        <v>2</v>
      </c>
      <c r="AS44" s="1741">
        <v>2</v>
      </c>
      <c r="AT44" s="1741">
        <v>2</v>
      </c>
      <c r="AU44" s="1741">
        <v>2</v>
      </c>
      <c r="AV44" s="1741">
        <v>2</v>
      </c>
      <c r="AW44" s="1741">
        <v>2</v>
      </c>
      <c r="AX44" s="1741">
        <v>2</v>
      </c>
      <c r="AY44" s="1741">
        <v>2</v>
      </c>
      <c r="AZ44" s="1741">
        <v>2</v>
      </c>
      <c r="BA44" s="1741">
        <v>2</v>
      </c>
      <c r="BB44" s="1741">
        <v>2</v>
      </c>
      <c r="BC44" s="1741">
        <v>2</v>
      </c>
      <c r="BD44" s="1741">
        <v>2</v>
      </c>
      <c r="BE44" s="1741">
        <v>2</v>
      </c>
      <c r="BF44" s="1741">
        <v>2</v>
      </c>
      <c r="BG44" s="1741">
        <v>2</v>
      </c>
      <c r="BH44" s="1741">
        <v>2</v>
      </c>
      <c r="BI44" s="1741">
        <v>2</v>
      </c>
      <c r="BJ44" s="1741">
        <v>2</v>
      </c>
      <c r="BK44" s="1741">
        <v>2</v>
      </c>
      <c r="BL44" s="1741">
        <v>2</v>
      </c>
      <c r="BM44" s="1741">
        <v>2</v>
      </c>
      <c r="BN44" s="1741">
        <v>2</v>
      </c>
      <c r="BO44" s="1741">
        <v>2</v>
      </c>
      <c r="BP44" s="1741">
        <v>2</v>
      </c>
      <c r="BQ44" s="1741">
        <v>2</v>
      </c>
      <c r="BR44" s="1741">
        <v>2</v>
      </c>
      <c r="BS44" s="1741">
        <v>2</v>
      </c>
      <c r="BT44" s="1741">
        <v>2</v>
      </c>
      <c r="BU44" s="1741">
        <v>2</v>
      </c>
      <c r="BV44" s="1741">
        <v>2</v>
      </c>
      <c r="BW44" s="1741">
        <v>2</v>
      </c>
      <c r="BX44" s="1258"/>
      <c r="BY44" s="1735"/>
      <c r="BZ44" s="1735"/>
      <c r="CA44" s="1735"/>
      <c r="CB44" s="1735"/>
      <c r="CC44" s="1735"/>
      <c r="CD44" s="1735"/>
      <c r="CE44" s="1735"/>
      <c r="CF44" s="1735"/>
      <c r="CG44" s="1735"/>
      <c r="CH44" s="1735"/>
      <c r="CI44" s="1735"/>
      <c r="CJ44" s="1735"/>
    </row>
    <row r="45" spans="1:88" s="249" customFormat="1" ht="45.95" customHeight="1">
      <c r="A45" s="1736"/>
      <c r="B45" s="1283">
        <f>'№2.1.Монтаж БУ'!B65</f>
        <v>0</v>
      </c>
      <c r="C45" s="1737" t="s">
        <v>1207</v>
      </c>
      <c r="D45" s="1738"/>
      <c r="E45" s="1739"/>
      <c r="F45" s="1739"/>
      <c r="G45" s="1739"/>
      <c r="H45" s="1739"/>
      <c r="I45" s="1739"/>
      <c r="J45" s="1739"/>
      <c r="K45" s="1739"/>
      <c r="L45" s="1739"/>
      <c r="M45" s="1739"/>
      <c r="N45" s="1739"/>
      <c r="O45" s="1739"/>
      <c r="P45" s="1739"/>
      <c r="Q45" s="1739"/>
      <c r="R45" s="1739"/>
      <c r="S45" s="1739"/>
      <c r="T45" s="1739"/>
      <c r="U45" s="1739"/>
      <c r="V45" s="1739"/>
      <c r="W45" s="1739"/>
      <c r="X45" s="1739"/>
      <c r="Y45" s="1739"/>
      <c r="Z45" s="1739"/>
      <c r="AA45" s="1739"/>
      <c r="AB45" s="1739"/>
      <c r="AC45" s="1739"/>
      <c r="AD45" s="1739"/>
      <c r="AE45" s="1739"/>
      <c r="AF45" s="1739"/>
      <c r="AG45" s="1739"/>
      <c r="AH45" s="1739"/>
      <c r="AI45" s="1739"/>
      <c r="AJ45" s="1741">
        <v>1</v>
      </c>
      <c r="AK45" s="1741">
        <v>1</v>
      </c>
      <c r="AL45" s="1741">
        <v>1</v>
      </c>
      <c r="AM45" s="1741">
        <v>1</v>
      </c>
      <c r="AN45" s="1741">
        <v>1</v>
      </c>
      <c r="AO45" s="1741">
        <v>1</v>
      </c>
      <c r="AP45" s="1741">
        <v>1</v>
      </c>
      <c r="AQ45" s="1741">
        <v>1</v>
      </c>
      <c r="AR45" s="1741">
        <v>1</v>
      </c>
      <c r="AS45" s="1741">
        <v>1</v>
      </c>
      <c r="AT45" s="1741">
        <v>1</v>
      </c>
      <c r="AU45" s="1741">
        <v>1</v>
      </c>
      <c r="AV45" s="1741">
        <v>1</v>
      </c>
      <c r="AW45" s="1741">
        <v>1</v>
      </c>
      <c r="AX45" s="1741">
        <v>1</v>
      </c>
      <c r="AY45" s="1741">
        <v>1</v>
      </c>
      <c r="AZ45" s="1741">
        <v>1</v>
      </c>
      <c r="BA45" s="1741">
        <v>1</v>
      </c>
      <c r="BB45" s="1741">
        <v>1</v>
      </c>
      <c r="BC45" s="1741">
        <v>1</v>
      </c>
      <c r="BD45" s="1741">
        <v>1</v>
      </c>
      <c r="BE45" s="1741">
        <v>1</v>
      </c>
      <c r="BF45" s="1741">
        <v>1</v>
      </c>
      <c r="BG45" s="1741">
        <v>1</v>
      </c>
      <c r="BH45" s="1741">
        <v>1</v>
      </c>
      <c r="BI45" s="1741">
        <v>1</v>
      </c>
      <c r="BJ45" s="1741">
        <v>1</v>
      </c>
      <c r="BK45" s="1741">
        <v>1</v>
      </c>
      <c r="BL45" s="1741">
        <v>1</v>
      </c>
      <c r="BM45" s="1741">
        <v>1</v>
      </c>
      <c r="BN45" s="1741">
        <v>1</v>
      </c>
      <c r="BO45" s="1741">
        <v>1</v>
      </c>
      <c r="BP45" s="1741">
        <v>1</v>
      </c>
      <c r="BQ45" s="1741">
        <v>1</v>
      </c>
      <c r="BR45" s="1741">
        <v>1</v>
      </c>
      <c r="BS45" s="1741">
        <v>1</v>
      </c>
      <c r="BT45" s="1741">
        <v>1</v>
      </c>
      <c r="BU45" s="1741">
        <v>1</v>
      </c>
      <c r="BV45" s="1741">
        <v>1</v>
      </c>
      <c r="BW45" s="1741">
        <v>1</v>
      </c>
      <c r="BX45" s="1258"/>
      <c r="BY45" s="1735"/>
      <c r="BZ45" s="1735"/>
      <c r="CA45" s="1735"/>
      <c r="CB45" s="1735"/>
      <c r="CC45" s="1735"/>
      <c r="CD45" s="1735"/>
      <c r="CE45" s="1735"/>
      <c r="CF45" s="1735"/>
      <c r="CG45" s="1735"/>
      <c r="CH45" s="1735"/>
      <c r="CI45" s="1735"/>
      <c r="CJ45" s="1735"/>
    </row>
    <row r="46" spans="1:88" s="249" customFormat="1" ht="45.95" customHeight="1">
      <c r="A46" s="1736"/>
      <c r="B46" s="1283">
        <f>'№2.1.Монтаж БУ'!B26</f>
        <v>0</v>
      </c>
      <c r="C46" s="1737" t="s">
        <v>774</v>
      </c>
      <c r="D46" s="1738"/>
      <c r="E46" s="1739"/>
      <c r="F46" s="1740"/>
      <c r="G46" s="1740"/>
      <c r="H46" s="1740"/>
      <c r="I46" s="1740"/>
      <c r="J46" s="1740"/>
      <c r="K46" s="1740"/>
      <c r="L46" s="1740"/>
      <c r="M46" s="1740"/>
      <c r="N46" s="1740"/>
      <c r="O46" s="1740"/>
      <c r="P46" s="1739"/>
      <c r="Q46" s="1739"/>
      <c r="R46" s="1739"/>
      <c r="S46" s="1739"/>
      <c r="T46" s="1739"/>
      <c r="U46" s="1739"/>
      <c r="V46" s="1739"/>
      <c r="W46" s="1739"/>
      <c r="X46" s="1739"/>
      <c r="Y46" s="1739"/>
      <c r="Z46" s="1739"/>
      <c r="AA46" s="1739"/>
      <c r="AB46" s="1739"/>
      <c r="AC46" s="1739"/>
      <c r="AD46" s="1739"/>
      <c r="AE46" s="1739"/>
      <c r="AF46" s="1739"/>
      <c r="AG46" s="1739"/>
      <c r="AH46" s="1739"/>
      <c r="AI46" s="1739"/>
      <c r="AJ46" s="1741">
        <v>1</v>
      </c>
      <c r="AK46" s="1741">
        <v>1</v>
      </c>
      <c r="AL46" s="1741">
        <v>1</v>
      </c>
      <c r="AM46" s="1741">
        <v>1</v>
      </c>
      <c r="AN46" s="1741">
        <v>1</v>
      </c>
      <c r="AO46" s="1741">
        <v>1</v>
      </c>
      <c r="AP46" s="1741">
        <v>1</v>
      </c>
      <c r="AQ46" s="1741">
        <v>1</v>
      </c>
      <c r="AR46" s="1741">
        <v>1</v>
      </c>
      <c r="AS46" s="1741">
        <v>1</v>
      </c>
      <c r="AT46" s="1741">
        <v>1</v>
      </c>
      <c r="AU46" s="1741">
        <v>1</v>
      </c>
      <c r="AV46" s="1741">
        <v>1</v>
      </c>
      <c r="AW46" s="1741">
        <v>1</v>
      </c>
      <c r="AX46" s="1741">
        <v>1</v>
      </c>
      <c r="AY46" s="1741">
        <v>1</v>
      </c>
      <c r="AZ46" s="1741">
        <v>1</v>
      </c>
      <c r="BA46" s="1741">
        <v>1</v>
      </c>
      <c r="BB46" s="1741">
        <v>1</v>
      </c>
      <c r="BC46" s="1741">
        <v>1</v>
      </c>
      <c r="BD46" s="1741">
        <v>1</v>
      </c>
      <c r="BE46" s="1741">
        <v>1</v>
      </c>
      <c r="BF46" s="1741">
        <v>1</v>
      </c>
      <c r="BG46" s="1741">
        <v>1</v>
      </c>
      <c r="BH46" s="1741">
        <v>1</v>
      </c>
      <c r="BI46" s="1741">
        <v>1</v>
      </c>
      <c r="BJ46" s="1741">
        <v>1</v>
      </c>
      <c r="BK46" s="1741">
        <v>1</v>
      </c>
      <c r="BL46" s="1741">
        <v>1</v>
      </c>
      <c r="BM46" s="1741">
        <v>1</v>
      </c>
      <c r="BN46" s="1741">
        <v>1</v>
      </c>
      <c r="BO46" s="1741">
        <v>1</v>
      </c>
      <c r="BP46" s="1741">
        <v>1</v>
      </c>
      <c r="BQ46" s="1741">
        <v>1</v>
      </c>
      <c r="BR46" s="1741">
        <v>1</v>
      </c>
      <c r="BS46" s="1741">
        <v>1</v>
      </c>
      <c r="BT46" s="1741">
        <v>1</v>
      </c>
      <c r="BU46" s="1741">
        <v>1</v>
      </c>
      <c r="BV46" s="1741">
        <v>1</v>
      </c>
      <c r="BW46" s="1741">
        <v>1</v>
      </c>
      <c r="BX46" s="1258"/>
      <c r="BY46" s="1735"/>
      <c r="BZ46" s="1735"/>
      <c r="CA46" s="1735"/>
      <c r="CB46" s="1735"/>
      <c r="CC46" s="1735"/>
      <c r="CD46" s="1735"/>
      <c r="CE46" s="1735"/>
      <c r="CF46" s="1735"/>
      <c r="CG46" s="1735"/>
      <c r="CH46" s="1735"/>
      <c r="CI46" s="1735"/>
      <c r="CJ46" s="1735"/>
    </row>
    <row r="47" spans="1:88" s="249" customFormat="1" ht="45.95" customHeight="1">
      <c r="A47" s="1736"/>
      <c r="B47" s="1277">
        <f>'№2.1.Монтаж БУ'!B27</f>
        <v>0</v>
      </c>
      <c r="C47" s="1737" t="s">
        <v>774</v>
      </c>
      <c r="D47" s="1738"/>
      <c r="E47" s="1739"/>
      <c r="F47" s="1739"/>
      <c r="G47" s="1739"/>
      <c r="H47" s="1739"/>
      <c r="I47" s="1739"/>
      <c r="J47" s="1739"/>
      <c r="K47" s="1739"/>
      <c r="L47" s="1739"/>
      <c r="M47" s="1739"/>
      <c r="N47" s="1739"/>
      <c r="O47" s="1739"/>
      <c r="P47" s="1739"/>
      <c r="Q47" s="1739"/>
      <c r="R47" s="1739"/>
      <c r="S47" s="1739"/>
      <c r="T47" s="1739"/>
      <c r="U47" s="1739"/>
      <c r="V47" s="1739"/>
      <c r="W47" s="1739"/>
      <c r="X47" s="1739"/>
      <c r="Y47" s="1739"/>
      <c r="Z47" s="1739"/>
      <c r="AA47" s="1739"/>
      <c r="AB47" s="1739"/>
      <c r="AC47" s="1739"/>
      <c r="AD47" s="1739"/>
      <c r="AE47" s="1739"/>
      <c r="AF47" s="1739"/>
      <c r="AG47" s="1739"/>
      <c r="AH47" s="1739"/>
      <c r="AI47" s="1739"/>
      <c r="AJ47" s="1741">
        <v>1</v>
      </c>
      <c r="AK47" s="1741">
        <v>1</v>
      </c>
      <c r="AL47" s="1741">
        <v>1</v>
      </c>
      <c r="AM47" s="1741">
        <v>1</v>
      </c>
      <c r="AN47" s="1741">
        <v>1</v>
      </c>
      <c r="AO47" s="1741">
        <v>1</v>
      </c>
      <c r="AP47" s="1741">
        <v>1</v>
      </c>
      <c r="AQ47" s="1741">
        <v>1</v>
      </c>
      <c r="AR47" s="1741">
        <v>1</v>
      </c>
      <c r="AS47" s="1741">
        <v>1</v>
      </c>
      <c r="AT47" s="1741">
        <v>1</v>
      </c>
      <c r="AU47" s="1741">
        <v>1</v>
      </c>
      <c r="AV47" s="1741">
        <v>1</v>
      </c>
      <c r="AW47" s="1741">
        <v>1</v>
      </c>
      <c r="AX47" s="1741">
        <v>1</v>
      </c>
      <c r="AY47" s="1741">
        <v>1</v>
      </c>
      <c r="AZ47" s="1741">
        <v>1</v>
      </c>
      <c r="BA47" s="1741">
        <v>1</v>
      </c>
      <c r="BB47" s="1741">
        <v>1</v>
      </c>
      <c r="BC47" s="1741">
        <v>1</v>
      </c>
      <c r="BD47" s="1741">
        <v>1</v>
      </c>
      <c r="BE47" s="1741">
        <v>1</v>
      </c>
      <c r="BF47" s="1741">
        <v>1</v>
      </c>
      <c r="BG47" s="1741">
        <v>1</v>
      </c>
      <c r="BH47" s="1741">
        <v>1</v>
      </c>
      <c r="BI47" s="1741">
        <v>1</v>
      </c>
      <c r="BJ47" s="1741">
        <v>1</v>
      </c>
      <c r="BK47" s="1741">
        <v>1</v>
      </c>
      <c r="BL47" s="1741">
        <v>1</v>
      </c>
      <c r="BM47" s="1741">
        <v>1</v>
      </c>
      <c r="BN47" s="1741">
        <v>1</v>
      </c>
      <c r="BO47" s="1741">
        <v>1</v>
      </c>
      <c r="BP47" s="1741">
        <v>1</v>
      </c>
      <c r="BQ47" s="1741">
        <v>1</v>
      </c>
      <c r="BR47" s="1741">
        <v>1</v>
      </c>
      <c r="BS47" s="1741">
        <v>1</v>
      </c>
      <c r="BT47" s="1741">
        <v>1</v>
      </c>
      <c r="BU47" s="1741">
        <v>1</v>
      </c>
      <c r="BV47" s="1741">
        <v>1</v>
      </c>
      <c r="BW47" s="1741">
        <v>1</v>
      </c>
      <c r="BX47" s="1258"/>
      <c r="BY47" s="1735"/>
      <c r="BZ47" s="1735"/>
      <c r="CA47" s="1735"/>
      <c r="CB47" s="1735"/>
      <c r="CC47" s="1735"/>
      <c r="CD47" s="1735"/>
      <c r="CE47" s="1735"/>
      <c r="CF47" s="1735"/>
      <c r="CG47" s="1735"/>
      <c r="CH47" s="1735"/>
      <c r="CI47" s="1735"/>
      <c r="CJ47" s="1735"/>
    </row>
    <row r="48" spans="1:88" s="249" customFormat="1" ht="45.95" customHeight="1" thickBot="1">
      <c r="A48" s="1706"/>
      <c r="C48" s="1706"/>
      <c r="D48" s="1706"/>
      <c r="E48" s="1706"/>
      <c r="F48" s="1706"/>
      <c r="G48" s="1706"/>
      <c r="H48" s="1706"/>
      <c r="I48" s="1706"/>
      <c r="J48" s="1706"/>
      <c r="K48" s="1706"/>
      <c r="L48" s="1706"/>
      <c r="M48" s="1706"/>
      <c r="N48" s="1706"/>
      <c r="O48" s="1706"/>
      <c r="P48" s="1706"/>
      <c r="Q48" s="1758"/>
      <c r="R48" s="1758"/>
      <c r="S48" s="1758"/>
      <c r="T48" s="1758"/>
      <c r="U48" s="1706"/>
      <c r="V48" s="1706"/>
      <c r="W48" s="1758"/>
      <c r="X48" s="1758"/>
      <c r="Y48" s="1758"/>
      <c r="Z48" s="1706"/>
      <c r="AA48" s="1706"/>
      <c r="AB48" s="1706"/>
      <c r="AC48" s="1706"/>
      <c r="AD48" s="1706"/>
      <c r="AE48" s="1706"/>
      <c r="AF48" s="1758"/>
      <c r="AG48" s="1706"/>
      <c r="AH48" s="1706"/>
      <c r="AI48" s="1706"/>
      <c r="AJ48" s="1706"/>
      <c r="AK48" s="1706"/>
      <c r="AL48" s="1706"/>
      <c r="AM48" s="1706"/>
      <c r="AN48" s="1706"/>
      <c r="AO48" s="1706"/>
      <c r="AP48" s="1706"/>
      <c r="AQ48" s="1706"/>
      <c r="AR48" s="1706"/>
      <c r="AS48" s="1706"/>
      <c r="AT48" s="1706"/>
      <c r="AU48" s="1706"/>
      <c r="AV48" s="1706"/>
      <c r="AW48" s="1706"/>
      <c r="AX48" s="1706"/>
      <c r="AY48" s="1706"/>
      <c r="AZ48" s="1706"/>
      <c r="BA48" s="1706"/>
      <c r="BB48" s="1706"/>
      <c r="BC48" s="1706"/>
      <c r="BD48" s="1706"/>
      <c r="BE48" s="1706"/>
      <c r="BF48" s="1706"/>
      <c r="BG48" s="1706"/>
      <c r="BH48" s="1706"/>
      <c r="BI48" s="1706"/>
      <c r="BJ48" s="1706"/>
      <c r="BK48" s="1706"/>
      <c r="BL48" s="1706"/>
      <c r="BM48" s="1706"/>
      <c r="BN48" s="1706"/>
      <c r="BO48" s="1706"/>
      <c r="BP48" s="1706"/>
      <c r="BQ48" s="1706"/>
      <c r="BR48" s="1706"/>
      <c r="BS48" s="1706"/>
      <c r="BT48" s="1706"/>
      <c r="BU48" s="1706"/>
    </row>
    <row r="49" spans="1:88" s="249" customFormat="1" ht="45.95" customHeight="1">
      <c r="A49" s="2457" t="s">
        <v>492</v>
      </c>
      <c r="B49" s="2458"/>
      <c r="C49" s="2458"/>
      <c r="D49" s="2458"/>
      <c r="E49" s="2458"/>
      <c r="F49" s="2458"/>
      <c r="G49" s="2458"/>
      <c r="H49" s="2458"/>
      <c r="I49" s="2458"/>
      <c r="J49" s="2458"/>
      <c r="K49" s="2458"/>
      <c r="L49" s="2458"/>
      <c r="M49" s="2458"/>
      <c r="N49" s="2458"/>
      <c r="O49" s="2458"/>
      <c r="P49" s="2458"/>
      <c r="Q49" s="2458"/>
      <c r="R49" s="2458"/>
      <c r="S49" s="2458"/>
      <c r="T49" s="2458"/>
      <c r="U49" s="2458"/>
      <c r="V49" s="2458"/>
      <c r="W49" s="2458"/>
      <c r="X49" s="2458"/>
      <c r="Y49" s="2458"/>
      <c r="Z49" s="2458"/>
      <c r="AA49" s="2458"/>
      <c r="AB49" s="2458"/>
      <c r="AC49" s="2458"/>
      <c r="AD49" s="2458"/>
      <c r="AE49" s="2458"/>
      <c r="AF49" s="2458"/>
      <c r="AG49" s="2458"/>
      <c r="AH49" s="2458"/>
      <c r="AI49" s="2458"/>
      <c r="AJ49" s="2459"/>
      <c r="AK49" s="2459"/>
      <c r="AL49" s="2459"/>
      <c r="AM49" s="2459"/>
      <c r="AN49" s="2459"/>
      <c r="AO49" s="2459"/>
      <c r="AP49" s="2459"/>
      <c r="AQ49" s="2459"/>
      <c r="AR49" s="1742"/>
      <c r="AS49" s="1742"/>
      <c r="AT49" s="1742"/>
      <c r="AU49" s="1742"/>
      <c r="AV49" s="1742"/>
      <c r="AW49" s="1742"/>
      <c r="AX49" s="1742"/>
      <c r="AY49" s="1742"/>
      <c r="AZ49" s="1742"/>
      <c r="BA49" s="1742"/>
      <c r="BB49" s="1742"/>
      <c r="BC49" s="1742"/>
      <c r="BD49" s="1742"/>
      <c r="BE49" s="1742"/>
      <c r="BF49" s="1742"/>
      <c r="BG49" s="1742"/>
      <c r="BH49" s="1742"/>
      <c r="BI49" s="1742"/>
      <c r="BJ49" s="1742"/>
      <c r="BK49" s="1742"/>
      <c r="BL49" s="1742"/>
      <c r="BM49" s="1742"/>
      <c r="BN49" s="1742"/>
      <c r="BO49" s="1742"/>
      <c r="BP49" s="1742"/>
      <c r="BQ49" s="1742"/>
      <c r="BR49" s="1742"/>
      <c r="BS49" s="1742"/>
      <c r="BT49" s="1742"/>
      <c r="BU49" s="1742"/>
      <c r="BV49" s="1742"/>
      <c r="BW49" s="1742"/>
      <c r="BX49" s="1742"/>
      <c r="BY49" s="1742"/>
      <c r="BZ49" s="1742"/>
      <c r="CA49" s="1742"/>
      <c r="CB49" s="1742"/>
      <c r="CC49" s="1742"/>
      <c r="CD49" s="1742"/>
      <c r="CE49" s="1742"/>
      <c r="CF49" s="1742"/>
      <c r="CG49" s="1742"/>
      <c r="CH49" s="1742"/>
      <c r="CI49" s="1742"/>
      <c r="CJ49" s="1743"/>
    </row>
    <row r="50" spans="1:88" s="249" customFormat="1" ht="74.099999999999994" customHeight="1">
      <c r="A50" s="1744" t="s">
        <v>455</v>
      </c>
      <c r="B50" s="1284" t="s">
        <v>188</v>
      </c>
      <c r="C50" s="1707" t="s">
        <v>493</v>
      </c>
      <c r="D50" s="1707" t="s">
        <v>494</v>
      </c>
      <c r="E50" s="1708" t="s">
        <v>495</v>
      </c>
      <c r="F50" s="1707">
        <f>'График работ'!N5</f>
        <v>0</v>
      </c>
      <c r="G50" s="1707">
        <f>F50+1</f>
        <v>1</v>
      </c>
      <c r="H50" s="1707">
        <f t="shared" ref="H50:AI50" si="25">G50+1</f>
        <v>2</v>
      </c>
      <c r="I50" s="1707">
        <f t="shared" si="25"/>
        <v>3</v>
      </c>
      <c r="J50" s="1707">
        <f t="shared" si="25"/>
        <v>4</v>
      </c>
      <c r="K50" s="1707">
        <f t="shared" si="25"/>
        <v>5</v>
      </c>
      <c r="L50" s="1707">
        <f t="shared" si="25"/>
        <v>6</v>
      </c>
      <c r="M50" s="1707">
        <f t="shared" si="25"/>
        <v>7</v>
      </c>
      <c r="N50" s="1707">
        <f t="shared" si="25"/>
        <v>8</v>
      </c>
      <c r="O50" s="1707">
        <f t="shared" si="25"/>
        <v>9</v>
      </c>
      <c r="P50" s="1707">
        <f t="shared" si="25"/>
        <v>10</v>
      </c>
      <c r="Q50" s="1707">
        <f t="shared" si="25"/>
        <v>11</v>
      </c>
      <c r="R50" s="1707">
        <f t="shared" si="25"/>
        <v>12</v>
      </c>
      <c r="S50" s="1707">
        <f t="shared" si="25"/>
        <v>13</v>
      </c>
      <c r="T50" s="1707">
        <f t="shared" si="25"/>
        <v>14</v>
      </c>
      <c r="U50" s="1707">
        <f t="shared" si="25"/>
        <v>15</v>
      </c>
      <c r="V50" s="1707">
        <f t="shared" si="25"/>
        <v>16</v>
      </c>
      <c r="W50" s="1707">
        <f t="shared" si="25"/>
        <v>17</v>
      </c>
      <c r="X50" s="1707">
        <f t="shared" si="25"/>
        <v>18</v>
      </c>
      <c r="Y50" s="1707">
        <f t="shared" si="25"/>
        <v>19</v>
      </c>
      <c r="Z50" s="1707">
        <f t="shared" si="25"/>
        <v>20</v>
      </c>
      <c r="AA50" s="1707">
        <f t="shared" si="25"/>
        <v>21</v>
      </c>
      <c r="AB50" s="1707">
        <f t="shared" si="25"/>
        <v>22</v>
      </c>
      <c r="AC50" s="1707">
        <f t="shared" si="25"/>
        <v>23</v>
      </c>
      <c r="AD50" s="1707">
        <f t="shared" si="25"/>
        <v>24</v>
      </c>
      <c r="AE50" s="1707">
        <f t="shared" si="25"/>
        <v>25</v>
      </c>
      <c r="AF50" s="1707">
        <f t="shared" si="25"/>
        <v>26</v>
      </c>
      <c r="AG50" s="1707">
        <f t="shared" si="25"/>
        <v>27</v>
      </c>
      <c r="AH50" s="1707">
        <f t="shared" si="25"/>
        <v>28</v>
      </c>
      <c r="AI50" s="1707">
        <f t="shared" si="25"/>
        <v>29</v>
      </c>
      <c r="AJ50" s="1745"/>
      <c r="AK50" s="1745"/>
      <c r="AL50" s="1745"/>
      <c r="AM50" s="1745"/>
      <c r="AN50" s="1745"/>
      <c r="AO50" s="1745"/>
      <c r="AP50" s="1745"/>
      <c r="AQ50" s="1745"/>
      <c r="AR50" s="1745"/>
      <c r="AS50" s="1745"/>
      <c r="AT50" s="1745"/>
      <c r="AU50" s="1745"/>
      <c r="AV50" s="1745"/>
      <c r="AW50" s="1745"/>
      <c r="AX50" s="1745"/>
      <c r="AY50" s="1745"/>
      <c r="AZ50" s="1745"/>
      <c r="BA50" s="1745"/>
      <c r="BB50" s="1745"/>
      <c r="BC50" s="1745"/>
      <c r="BD50" s="1745"/>
      <c r="BE50" s="1745"/>
      <c r="BF50" s="1745"/>
      <c r="BG50" s="1745"/>
      <c r="BH50" s="1745"/>
      <c r="BI50" s="1745"/>
      <c r="BJ50" s="1745"/>
      <c r="BK50" s="1745"/>
      <c r="BL50" s="1745"/>
      <c r="BM50" s="1745"/>
      <c r="BN50" s="1745"/>
      <c r="BO50" s="1745"/>
      <c r="BP50" s="1745"/>
      <c r="BQ50" s="1745"/>
      <c r="BR50" s="1745"/>
      <c r="BS50" s="1745"/>
      <c r="BT50" s="1745"/>
      <c r="BU50" s="1745"/>
      <c r="BV50" s="1745"/>
      <c r="BW50" s="1745"/>
      <c r="BX50" s="1745"/>
      <c r="BY50" s="1746">
        <f t="shared" ref="BY50:CJ50" si="26">+BX50+1</f>
        <v>1</v>
      </c>
      <c r="BZ50" s="1747">
        <f t="shared" si="26"/>
        <v>2</v>
      </c>
      <c r="CA50" s="1747">
        <f t="shared" si="26"/>
        <v>3</v>
      </c>
      <c r="CB50" s="1747">
        <f t="shared" si="26"/>
        <v>4</v>
      </c>
      <c r="CC50" s="1747">
        <f t="shared" si="26"/>
        <v>5</v>
      </c>
      <c r="CD50" s="1747">
        <f t="shared" si="26"/>
        <v>6</v>
      </c>
      <c r="CE50" s="1747">
        <f t="shared" si="26"/>
        <v>7</v>
      </c>
      <c r="CF50" s="1747">
        <f t="shared" si="26"/>
        <v>8</v>
      </c>
      <c r="CG50" s="1747">
        <f t="shared" si="26"/>
        <v>9</v>
      </c>
      <c r="CH50" s="1747">
        <f t="shared" si="26"/>
        <v>10</v>
      </c>
      <c r="CI50" s="1747">
        <f t="shared" si="26"/>
        <v>11</v>
      </c>
      <c r="CJ50" s="1748">
        <f t="shared" si="26"/>
        <v>12</v>
      </c>
    </row>
    <row r="51" spans="1:88" s="249" customFormat="1" ht="35.25" customHeight="1">
      <c r="A51" s="1744"/>
      <c r="B51" s="1284" t="s">
        <v>496</v>
      </c>
      <c r="C51" s="1258"/>
      <c r="D51" s="1258"/>
      <c r="E51" s="1258"/>
      <c r="F51" s="1258">
        <v>1</v>
      </c>
      <c r="G51" s="1258">
        <f>F51+1</f>
        <v>2</v>
      </c>
      <c r="H51" s="1258">
        <f t="shared" ref="H51:P51" si="27">G51+1</f>
        <v>3</v>
      </c>
      <c r="I51" s="1258">
        <f t="shared" si="27"/>
        <v>4</v>
      </c>
      <c r="J51" s="1258">
        <f t="shared" si="27"/>
        <v>5</v>
      </c>
      <c r="K51" s="1258">
        <f t="shared" si="27"/>
        <v>6</v>
      </c>
      <c r="L51" s="1258">
        <f t="shared" si="27"/>
        <v>7</v>
      </c>
      <c r="M51" s="1258">
        <f t="shared" si="27"/>
        <v>8</v>
      </c>
      <c r="N51" s="1258">
        <f t="shared" si="27"/>
        <v>9</v>
      </c>
      <c r="O51" s="1258">
        <f t="shared" si="27"/>
        <v>10</v>
      </c>
      <c r="P51" s="1258">
        <f t="shared" si="27"/>
        <v>11</v>
      </c>
      <c r="Q51" s="1258">
        <f t="shared" ref="Q51" si="28">P51+1</f>
        <v>12</v>
      </c>
      <c r="R51" s="1258">
        <f t="shared" ref="R51" si="29">Q51+1</f>
        <v>13</v>
      </c>
      <c r="S51" s="1258">
        <f t="shared" ref="S51" si="30">R51+1</f>
        <v>14</v>
      </c>
      <c r="T51" s="1258">
        <f t="shared" ref="T51" si="31">S51+1</f>
        <v>15</v>
      </c>
      <c r="U51" s="1258">
        <f t="shared" ref="U51" si="32">T51+1</f>
        <v>16</v>
      </c>
      <c r="V51" s="1258">
        <f t="shared" ref="V51" si="33">U51+1</f>
        <v>17</v>
      </c>
      <c r="W51" s="1258">
        <f t="shared" ref="W51" si="34">V51+1</f>
        <v>18</v>
      </c>
      <c r="X51" s="1258">
        <f t="shared" ref="X51" si="35">W51+1</f>
        <v>19</v>
      </c>
      <c r="Y51" s="1258">
        <f t="shared" ref="Y51" si="36">X51+1</f>
        <v>20</v>
      </c>
      <c r="Z51" s="1258">
        <f t="shared" ref="Z51" si="37">Y51+1</f>
        <v>21</v>
      </c>
      <c r="AA51" s="1258">
        <f t="shared" ref="AA51" si="38">Z51+1</f>
        <v>22</v>
      </c>
      <c r="AB51" s="1258">
        <f t="shared" ref="AB51" si="39">AA51+1</f>
        <v>23</v>
      </c>
      <c r="AC51" s="1258">
        <f t="shared" ref="AC51" si="40">AB51+1</f>
        <v>24</v>
      </c>
      <c r="AD51" s="1258">
        <f t="shared" ref="AD51" si="41">AC51+1</f>
        <v>25</v>
      </c>
      <c r="AE51" s="1258">
        <f t="shared" ref="AE51" si="42">AD51+1</f>
        <v>26</v>
      </c>
      <c r="AF51" s="1258">
        <f t="shared" ref="AF51" si="43">AE51+1</f>
        <v>27</v>
      </c>
      <c r="AG51" s="1258">
        <f t="shared" ref="AG51" si="44">AF51+1</f>
        <v>28</v>
      </c>
      <c r="AH51" s="1258">
        <f t="shared" ref="AH51" si="45">AG51+1</f>
        <v>29</v>
      </c>
      <c r="AI51" s="1258">
        <f t="shared" ref="AI51" si="46">AH51+1</f>
        <v>30</v>
      </c>
      <c r="AJ51" s="1272"/>
      <c r="AK51" s="1272"/>
      <c r="AL51" s="1272"/>
      <c r="AM51" s="1272"/>
      <c r="AN51" s="1272"/>
      <c r="AO51" s="1272"/>
      <c r="AP51" s="1272"/>
      <c r="AQ51" s="1272"/>
      <c r="AR51" s="1749"/>
      <c r="AS51" s="1749"/>
      <c r="AT51" s="1749"/>
      <c r="AU51" s="1749"/>
      <c r="AV51" s="1749"/>
      <c r="AW51" s="1749"/>
      <c r="AX51" s="1749"/>
      <c r="AY51" s="1749"/>
      <c r="AZ51" s="1749"/>
      <c r="BA51" s="1749"/>
      <c r="BB51" s="1749"/>
      <c r="BC51" s="1749"/>
      <c r="BD51" s="1749"/>
      <c r="BE51" s="1749"/>
      <c r="BF51" s="1749"/>
      <c r="BG51" s="1749"/>
      <c r="BH51" s="1749"/>
      <c r="BI51" s="1749"/>
      <c r="BJ51" s="1749"/>
      <c r="BK51" s="1749"/>
      <c r="BL51" s="1749"/>
      <c r="BM51" s="1749"/>
      <c r="BN51" s="1749"/>
      <c r="BO51" s="1749"/>
      <c r="BP51" s="1749"/>
      <c r="BQ51" s="1749"/>
      <c r="BR51" s="1749"/>
      <c r="BS51" s="1749"/>
      <c r="BT51" s="1749"/>
      <c r="BU51" s="1749"/>
      <c r="BV51" s="1749"/>
      <c r="BW51" s="1749"/>
      <c r="BX51" s="1749"/>
      <c r="BY51" s="1706">
        <f t="shared" ref="BY51:CJ51" si="47">BX51+1</f>
        <v>1</v>
      </c>
      <c r="BZ51" s="1706">
        <f t="shared" si="47"/>
        <v>2</v>
      </c>
      <c r="CA51" s="1706">
        <f t="shared" si="47"/>
        <v>3</v>
      </c>
      <c r="CB51" s="1706">
        <f t="shared" si="47"/>
        <v>4</v>
      </c>
      <c r="CC51" s="1706">
        <f t="shared" si="47"/>
        <v>5</v>
      </c>
      <c r="CD51" s="1706">
        <f t="shared" si="47"/>
        <v>6</v>
      </c>
      <c r="CE51" s="1706">
        <f t="shared" si="47"/>
        <v>7</v>
      </c>
      <c r="CF51" s="1706">
        <f t="shared" si="47"/>
        <v>8</v>
      </c>
      <c r="CG51" s="1706">
        <f t="shared" si="47"/>
        <v>9</v>
      </c>
      <c r="CH51" s="1706">
        <f t="shared" si="47"/>
        <v>10</v>
      </c>
      <c r="CI51" s="1706">
        <f t="shared" si="47"/>
        <v>11</v>
      </c>
      <c r="CJ51" s="1706">
        <f t="shared" si="47"/>
        <v>12</v>
      </c>
    </row>
    <row r="52" spans="1:88" s="249" customFormat="1" ht="45.95" customHeight="1">
      <c r="A52" s="1238"/>
      <c r="B52" s="1750" t="s">
        <v>1190</v>
      </c>
      <c r="C52" s="1258"/>
      <c r="D52" s="1258"/>
      <c r="E52" s="1258"/>
      <c r="F52" s="1258"/>
      <c r="G52" s="1258"/>
      <c r="H52" s="1258"/>
      <c r="I52" s="1258"/>
      <c r="J52" s="1258"/>
      <c r="K52" s="1258"/>
      <c r="L52" s="1258"/>
      <c r="M52" s="1258"/>
      <c r="N52" s="1258"/>
      <c r="O52" s="1258"/>
      <c r="P52" s="1258"/>
      <c r="Q52" s="1258"/>
      <c r="R52" s="1258"/>
      <c r="S52" s="1258"/>
      <c r="T52" s="1258"/>
      <c r="U52" s="1258"/>
      <c r="V52" s="1258"/>
      <c r="W52" s="1258"/>
      <c r="X52" s="1258"/>
      <c r="Y52" s="1258"/>
      <c r="Z52" s="1258"/>
      <c r="AA52" s="1258"/>
      <c r="AB52" s="1258"/>
      <c r="AC52" s="1258"/>
      <c r="AD52" s="1258"/>
      <c r="AE52" s="1258"/>
      <c r="AF52" s="1258"/>
      <c r="AG52" s="1258"/>
      <c r="AH52" s="1258"/>
      <c r="AI52" s="1258"/>
      <c r="AJ52" s="1272"/>
      <c r="AK52" s="1272"/>
      <c r="AL52" s="1272"/>
      <c r="AM52" s="1272"/>
      <c r="AN52" s="1272"/>
      <c r="AO52" s="1272"/>
      <c r="AP52" s="1272"/>
      <c r="AQ52" s="1272"/>
      <c r="AR52" s="1272"/>
      <c r="AS52" s="1272"/>
      <c r="AT52" s="1272"/>
      <c r="AU52" s="1272"/>
      <c r="AV52" s="1272"/>
      <c r="AW52" s="1272"/>
      <c r="AX52" s="1272"/>
      <c r="AY52" s="1272"/>
      <c r="AZ52" s="1272"/>
      <c r="BA52" s="1272"/>
      <c r="BB52" s="1272"/>
      <c r="BC52" s="1272"/>
      <c r="BD52" s="1272"/>
      <c r="BE52" s="1272"/>
      <c r="BF52" s="1272"/>
      <c r="BG52" s="1272"/>
      <c r="BH52" s="1272"/>
      <c r="BI52" s="1272"/>
      <c r="BJ52" s="1272"/>
      <c r="BK52" s="1272"/>
      <c r="BL52" s="1272"/>
      <c r="BM52" s="1272"/>
      <c r="BN52" s="1272"/>
      <c r="BO52" s="1272"/>
      <c r="BP52" s="1272"/>
      <c r="BQ52" s="1272"/>
      <c r="BR52" s="1272"/>
      <c r="BS52" s="1272"/>
      <c r="BT52" s="1272"/>
      <c r="BU52" s="1272"/>
      <c r="BV52" s="1272"/>
      <c r="BW52" s="1272"/>
      <c r="BX52" s="1272"/>
      <c r="BY52" s="1706"/>
      <c r="BZ52" s="1706"/>
      <c r="CA52" s="1706"/>
      <c r="CB52" s="1706"/>
      <c r="CC52" s="1706"/>
      <c r="CD52" s="1706"/>
      <c r="CE52" s="1706"/>
      <c r="CF52" s="1706"/>
      <c r="CG52" s="1706"/>
      <c r="CH52" s="1706"/>
      <c r="CI52" s="1706"/>
      <c r="CJ52" s="1706"/>
    </row>
    <row r="53" spans="1:88" s="249" customFormat="1" ht="59.25" customHeight="1">
      <c r="A53" s="1257" t="s">
        <v>456</v>
      </c>
      <c r="B53" s="1285" t="s">
        <v>1208</v>
      </c>
      <c r="C53" s="1257">
        <v>87</v>
      </c>
      <c r="D53" s="1724">
        <f t="shared" ref="D53:D83" si="48">C53/$C$88</f>
        <v>3.578774167009461E-2</v>
      </c>
      <c r="E53" s="1258"/>
      <c r="F53" s="1259">
        <v>75</v>
      </c>
      <c r="G53" s="1259">
        <v>100</v>
      </c>
      <c r="H53" s="1258"/>
      <c r="I53" s="1258"/>
      <c r="J53" s="1258"/>
      <c r="K53" s="1258"/>
      <c r="L53" s="1258"/>
      <c r="M53" s="1258"/>
      <c r="N53" s="1258"/>
      <c r="O53" s="1258"/>
      <c r="P53" s="1258"/>
      <c r="Q53" s="1258"/>
      <c r="R53" s="1258"/>
      <c r="S53" s="1258"/>
      <c r="T53" s="1258"/>
      <c r="U53" s="1258"/>
      <c r="V53" s="1258"/>
      <c r="W53" s="1258"/>
      <c r="X53" s="1258"/>
      <c r="Y53" s="1258"/>
      <c r="Z53" s="1258"/>
      <c r="AA53" s="1258"/>
      <c r="AB53" s="1258"/>
      <c r="AC53" s="1258"/>
      <c r="AD53" s="1258"/>
      <c r="AE53" s="1258"/>
      <c r="AF53" s="1258"/>
      <c r="AG53" s="1258"/>
      <c r="AH53" s="1258"/>
      <c r="AI53" s="1258"/>
      <c r="AJ53" s="1272"/>
      <c r="AK53" s="1272"/>
      <c r="AL53" s="1272"/>
      <c r="AM53" s="1272"/>
      <c r="AN53" s="1272"/>
      <c r="AO53" s="1272"/>
      <c r="AP53" s="1272"/>
      <c r="AQ53" s="1272"/>
      <c r="AR53" s="1273"/>
      <c r="AS53" s="1273"/>
      <c r="AT53" s="1273"/>
      <c r="AU53" s="1273"/>
      <c r="AV53" s="1273"/>
      <c r="AW53" s="1273"/>
      <c r="AX53" s="1273"/>
      <c r="AY53" s="1272"/>
      <c r="AZ53" s="1272"/>
      <c r="BA53" s="1272"/>
      <c r="BB53" s="1272"/>
      <c r="BC53" s="1272"/>
      <c r="BD53" s="1274"/>
      <c r="BE53" s="1274"/>
      <c r="BF53" s="1274"/>
      <c r="BG53" s="1274"/>
      <c r="BH53" s="1274"/>
      <c r="BI53" s="1274"/>
      <c r="BJ53" s="1274"/>
      <c r="BK53" s="1274"/>
      <c r="BL53" s="1274"/>
      <c r="BM53" s="1274"/>
      <c r="BN53" s="1274"/>
      <c r="BO53" s="1274"/>
      <c r="BP53" s="1274"/>
      <c r="BQ53" s="1274"/>
      <c r="BR53" s="1274"/>
      <c r="BS53" s="1274"/>
      <c r="BT53" s="1274"/>
      <c r="BU53" s="1274"/>
      <c r="BV53" s="1274"/>
      <c r="BW53" s="1274"/>
      <c r="BX53" s="1274"/>
      <c r="BY53" s="1706">
        <v>100</v>
      </c>
      <c r="BZ53" s="1706">
        <v>100</v>
      </c>
      <c r="CA53" s="1706">
        <v>100</v>
      </c>
      <c r="CB53" s="1706">
        <v>100</v>
      </c>
      <c r="CC53" s="1706">
        <v>100</v>
      </c>
      <c r="CD53" s="1706">
        <v>100</v>
      </c>
      <c r="CE53" s="1706">
        <v>100</v>
      </c>
      <c r="CF53" s="1706">
        <v>100</v>
      </c>
      <c r="CG53" s="1706">
        <v>100</v>
      </c>
      <c r="CH53" s="1706">
        <v>100</v>
      </c>
      <c r="CI53" s="1706">
        <v>100</v>
      </c>
      <c r="CJ53" s="1706">
        <v>100</v>
      </c>
    </row>
    <row r="54" spans="1:88" s="249" customFormat="1" ht="45.95" customHeight="1">
      <c r="A54" s="1257" t="s">
        <v>405</v>
      </c>
      <c r="B54" s="1285" t="s">
        <v>1209</v>
      </c>
      <c r="C54" s="1257">
        <v>36</v>
      </c>
      <c r="D54" s="1724">
        <f t="shared" si="48"/>
        <v>1.4808720691073632E-2</v>
      </c>
      <c r="E54" s="1258"/>
      <c r="F54" s="1259">
        <v>50</v>
      </c>
      <c r="G54" s="1259">
        <v>75</v>
      </c>
      <c r="H54" s="1259">
        <v>100</v>
      </c>
      <c r="I54" s="1258"/>
      <c r="J54" s="1258"/>
      <c r="K54" s="1258"/>
      <c r="L54" s="1258"/>
      <c r="M54" s="1258"/>
      <c r="N54" s="1258"/>
      <c r="O54" s="1258"/>
      <c r="P54" s="1258"/>
      <c r="Q54" s="1258"/>
      <c r="R54" s="1258"/>
      <c r="S54" s="1258"/>
      <c r="T54" s="1258"/>
      <c r="U54" s="1258"/>
      <c r="V54" s="1258"/>
      <c r="W54" s="1258"/>
      <c r="X54" s="1258"/>
      <c r="Y54" s="1258"/>
      <c r="Z54" s="1258"/>
      <c r="AA54" s="1258"/>
      <c r="AB54" s="1258"/>
      <c r="AC54" s="1258"/>
      <c r="AD54" s="1258"/>
      <c r="AE54" s="1258"/>
      <c r="AF54" s="1258"/>
      <c r="AG54" s="1258"/>
      <c r="AH54" s="1258"/>
      <c r="AI54" s="1258"/>
      <c r="AJ54" s="1272"/>
      <c r="AK54" s="1272"/>
      <c r="AL54" s="1272"/>
      <c r="AM54" s="1272"/>
      <c r="AN54" s="1272"/>
      <c r="AO54" s="1272"/>
      <c r="AP54" s="1272"/>
      <c r="AQ54" s="1272"/>
      <c r="AR54" s="1273"/>
      <c r="AS54" s="1273"/>
      <c r="AT54" s="1273"/>
      <c r="AU54" s="1273"/>
      <c r="AV54" s="1273"/>
      <c r="AW54" s="1273"/>
      <c r="AX54" s="1273"/>
      <c r="AY54" s="1272"/>
      <c r="AZ54" s="1272"/>
      <c r="BA54" s="1272"/>
      <c r="BB54" s="1272"/>
      <c r="BC54" s="1272"/>
      <c r="BD54" s="1274"/>
      <c r="BE54" s="1274"/>
      <c r="BF54" s="1274"/>
      <c r="BG54" s="1274"/>
      <c r="BH54" s="1274"/>
      <c r="BI54" s="1274"/>
      <c r="BJ54" s="1274"/>
      <c r="BK54" s="1274"/>
      <c r="BL54" s="1274"/>
      <c r="BM54" s="1274"/>
      <c r="BN54" s="1274"/>
      <c r="BO54" s="1274"/>
      <c r="BP54" s="1274"/>
      <c r="BQ54" s="1274"/>
      <c r="BR54" s="1274"/>
      <c r="BS54" s="1274"/>
      <c r="BT54" s="1274"/>
      <c r="BU54" s="1274"/>
      <c r="BV54" s="1274"/>
      <c r="BW54" s="1274"/>
      <c r="BX54" s="1274"/>
      <c r="BY54" s="1706">
        <v>100</v>
      </c>
      <c r="BZ54" s="1706">
        <v>100</v>
      </c>
      <c r="CA54" s="1706">
        <v>100</v>
      </c>
      <c r="CB54" s="1706">
        <v>100</v>
      </c>
      <c r="CC54" s="1706">
        <v>100</v>
      </c>
      <c r="CD54" s="1706">
        <v>100</v>
      </c>
      <c r="CE54" s="1706">
        <v>100</v>
      </c>
      <c r="CF54" s="1706">
        <v>100</v>
      </c>
      <c r="CG54" s="1706">
        <v>100</v>
      </c>
      <c r="CH54" s="1706">
        <v>100</v>
      </c>
      <c r="CI54" s="1706">
        <v>100</v>
      </c>
      <c r="CJ54" s="1706">
        <v>100</v>
      </c>
    </row>
    <row r="55" spans="1:88" s="249" customFormat="1" ht="45.95" customHeight="1">
      <c r="A55" s="1257" t="s">
        <v>406</v>
      </c>
      <c r="B55" s="1285" t="s">
        <v>1210</v>
      </c>
      <c r="C55" s="1257">
        <v>36</v>
      </c>
      <c r="D55" s="1724">
        <f t="shared" si="48"/>
        <v>1.4808720691073632E-2</v>
      </c>
      <c r="E55" s="1258"/>
      <c r="F55" s="1258"/>
      <c r="G55" s="1259">
        <v>30</v>
      </c>
      <c r="H55" s="1259">
        <v>75</v>
      </c>
      <c r="I55" s="1259">
        <v>100</v>
      </c>
      <c r="J55" s="1258"/>
      <c r="K55" s="1258"/>
      <c r="L55" s="1258"/>
      <c r="M55" s="1258"/>
      <c r="N55" s="1258"/>
      <c r="O55" s="1258"/>
      <c r="P55" s="1258"/>
      <c r="Q55" s="1258"/>
      <c r="R55" s="1258"/>
      <c r="S55" s="1258"/>
      <c r="T55" s="1258"/>
      <c r="U55" s="1258"/>
      <c r="V55" s="1258"/>
      <c r="W55" s="1258"/>
      <c r="X55" s="1258"/>
      <c r="Y55" s="1258"/>
      <c r="Z55" s="1258"/>
      <c r="AA55" s="1258"/>
      <c r="AB55" s="1258"/>
      <c r="AC55" s="1258"/>
      <c r="AD55" s="1258"/>
      <c r="AE55" s="1258"/>
      <c r="AF55" s="1258"/>
      <c r="AG55" s="1258"/>
      <c r="AH55" s="1258"/>
      <c r="AI55" s="1258"/>
      <c r="AJ55" s="1272"/>
      <c r="AK55" s="1272"/>
      <c r="AL55" s="1272"/>
      <c r="AM55" s="1272"/>
      <c r="AN55" s="1272"/>
      <c r="AO55" s="1272"/>
      <c r="AP55" s="1272"/>
      <c r="AQ55" s="1272"/>
      <c r="AR55" s="1273"/>
      <c r="AS55" s="1273"/>
      <c r="AT55" s="1273"/>
      <c r="AU55" s="1273"/>
      <c r="AV55" s="1273"/>
      <c r="AW55" s="1273"/>
      <c r="AX55" s="1273"/>
      <c r="AY55" s="1272"/>
      <c r="AZ55" s="1272"/>
      <c r="BA55" s="1272"/>
      <c r="BB55" s="1272"/>
      <c r="BC55" s="1272"/>
      <c r="BD55" s="1274"/>
      <c r="BE55" s="1274"/>
      <c r="BF55" s="1274"/>
      <c r="BG55" s="1274"/>
      <c r="BH55" s="1274"/>
      <c r="BI55" s="1274"/>
      <c r="BJ55" s="1274"/>
      <c r="BK55" s="1274"/>
      <c r="BL55" s="1274"/>
      <c r="BM55" s="1274"/>
      <c r="BN55" s="1274"/>
      <c r="BO55" s="1274"/>
      <c r="BP55" s="1274"/>
      <c r="BQ55" s="1274"/>
      <c r="BR55" s="1274"/>
      <c r="BS55" s="1274"/>
      <c r="BT55" s="1274"/>
      <c r="BU55" s="1274"/>
      <c r="BV55" s="1274"/>
      <c r="BW55" s="1274"/>
      <c r="BX55" s="1274"/>
      <c r="BY55" s="1706"/>
      <c r="BZ55" s="1706"/>
      <c r="CA55" s="1706"/>
      <c r="CB55" s="1706"/>
      <c r="CC55" s="1706"/>
      <c r="CD55" s="1706"/>
      <c r="CE55" s="1706"/>
      <c r="CF55" s="1706"/>
      <c r="CG55" s="1706"/>
      <c r="CH55" s="1706"/>
      <c r="CI55" s="1706"/>
      <c r="CJ55" s="1706"/>
    </row>
    <row r="56" spans="1:88" s="249" customFormat="1" ht="45.95" customHeight="1">
      <c r="A56" s="1257" t="s">
        <v>460</v>
      </c>
      <c r="B56" s="1285" t="s">
        <v>783</v>
      </c>
      <c r="C56" s="1257">
        <v>98</v>
      </c>
      <c r="D56" s="1724">
        <f t="shared" si="48"/>
        <v>4.0312628547922669E-2</v>
      </c>
      <c r="E56" s="1258"/>
      <c r="F56" s="1258"/>
      <c r="G56" s="1258"/>
      <c r="H56" s="1259">
        <v>75</v>
      </c>
      <c r="I56" s="1259">
        <v>100</v>
      </c>
      <c r="J56" s="1258"/>
      <c r="K56" s="1258"/>
      <c r="L56" s="1258"/>
      <c r="M56" s="1258"/>
      <c r="N56" s="1258"/>
      <c r="O56" s="1258"/>
      <c r="P56" s="1258"/>
      <c r="Q56" s="1258"/>
      <c r="R56" s="1258"/>
      <c r="S56" s="1258"/>
      <c r="T56" s="1258"/>
      <c r="U56" s="1258"/>
      <c r="V56" s="1258"/>
      <c r="W56" s="1258"/>
      <c r="X56" s="1258"/>
      <c r="Y56" s="1258"/>
      <c r="Z56" s="1258"/>
      <c r="AA56" s="1258"/>
      <c r="AB56" s="1258"/>
      <c r="AC56" s="1258"/>
      <c r="AD56" s="1258"/>
      <c r="AE56" s="1258"/>
      <c r="AF56" s="1258"/>
      <c r="AG56" s="1258"/>
      <c r="AH56" s="1258"/>
      <c r="AI56" s="1258"/>
      <c r="AJ56" s="1272"/>
      <c r="AK56" s="1272"/>
      <c r="AL56" s="1272"/>
      <c r="AM56" s="1272"/>
      <c r="AN56" s="1272"/>
      <c r="AO56" s="1272"/>
      <c r="AP56" s="1272"/>
      <c r="AQ56" s="1272"/>
      <c r="AR56" s="1273"/>
      <c r="AS56" s="1273"/>
      <c r="AT56" s="1273"/>
      <c r="AU56" s="1273"/>
      <c r="AV56" s="1273"/>
      <c r="AW56" s="1273"/>
      <c r="AX56" s="1273"/>
      <c r="AY56" s="1272"/>
      <c r="AZ56" s="1272"/>
      <c r="BA56" s="1272"/>
      <c r="BB56" s="1272"/>
      <c r="BC56" s="1272"/>
      <c r="BD56" s="1274"/>
      <c r="BE56" s="1274"/>
      <c r="BF56" s="1274"/>
      <c r="BG56" s="1274"/>
      <c r="BH56" s="1274"/>
      <c r="BI56" s="1274"/>
      <c r="BJ56" s="1274"/>
      <c r="BK56" s="1274"/>
      <c r="BL56" s="1274"/>
      <c r="BM56" s="1274"/>
      <c r="BN56" s="1274"/>
      <c r="BO56" s="1274"/>
      <c r="BP56" s="1274"/>
      <c r="BQ56" s="1274"/>
      <c r="BR56" s="1274"/>
      <c r="BS56" s="1274"/>
      <c r="BT56" s="1274"/>
      <c r="BU56" s="1274"/>
      <c r="BV56" s="1274"/>
      <c r="BW56" s="1274"/>
      <c r="BX56" s="1274"/>
      <c r="BY56" s="1706">
        <v>100</v>
      </c>
      <c r="BZ56" s="1706">
        <v>100</v>
      </c>
      <c r="CA56" s="1706">
        <v>100</v>
      </c>
      <c r="CB56" s="1706">
        <v>100</v>
      </c>
      <c r="CC56" s="1706">
        <v>100</v>
      </c>
      <c r="CD56" s="1706">
        <v>100</v>
      </c>
      <c r="CE56" s="1706">
        <v>100</v>
      </c>
      <c r="CF56" s="1706">
        <v>100</v>
      </c>
      <c r="CG56" s="1706">
        <v>100</v>
      </c>
      <c r="CH56" s="1706">
        <v>100</v>
      </c>
      <c r="CI56" s="1706">
        <v>100</v>
      </c>
      <c r="CJ56" s="1706">
        <v>100</v>
      </c>
    </row>
    <row r="57" spans="1:88" s="249" customFormat="1" ht="45.95" customHeight="1">
      <c r="A57" s="1257" t="s">
        <v>461</v>
      </c>
      <c r="B57" s="1285" t="s">
        <v>1211</v>
      </c>
      <c r="C57" s="1257">
        <v>100</v>
      </c>
      <c r="D57" s="1724">
        <f t="shared" si="48"/>
        <v>4.1135335252982311E-2</v>
      </c>
      <c r="E57" s="1258"/>
      <c r="F57" s="1258"/>
      <c r="G57" s="1258"/>
      <c r="H57" s="1259">
        <v>75</v>
      </c>
      <c r="I57" s="1259">
        <v>100</v>
      </c>
      <c r="J57" s="1258"/>
      <c r="K57" s="1258"/>
      <c r="L57" s="1258"/>
      <c r="M57" s="1258"/>
      <c r="N57" s="1258"/>
      <c r="O57" s="1258"/>
      <c r="P57" s="1258"/>
      <c r="Q57" s="1258"/>
      <c r="R57" s="1258"/>
      <c r="S57" s="1258"/>
      <c r="T57" s="1258"/>
      <c r="U57" s="1258"/>
      <c r="V57" s="1258"/>
      <c r="W57" s="1258"/>
      <c r="X57" s="1258"/>
      <c r="Y57" s="1258"/>
      <c r="Z57" s="1258"/>
      <c r="AA57" s="1258"/>
      <c r="AB57" s="1258"/>
      <c r="AC57" s="1258"/>
      <c r="AD57" s="1258"/>
      <c r="AE57" s="1258"/>
      <c r="AF57" s="1258"/>
      <c r="AG57" s="1258"/>
      <c r="AH57" s="1258"/>
      <c r="AI57" s="1258"/>
      <c r="AJ57" s="1272"/>
      <c r="AK57" s="1272"/>
      <c r="AL57" s="1272"/>
      <c r="AM57" s="1272"/>
      <c r="AN57" s="1272"/>
      <c r="AO57" s="1272"/>
      <c r="AP57" s="1272"/>
      <c r="AQ57" s="1272"/>
      <c r="AR57" s="1273"/>
      <c r="AS57" s="1273"/>
      <c r="AT57" s="1273"/>
      <c r="AU57" s="1273"/>
      <c r="AV57" s="1273"/>
      <c r="AW57" s="1273"/>
      <c r="AX57" s="1273"/>
      <c r="AY57" s="1272"/>
      <c r="AZ57" s="1272"/>
      <c r="BA57" s="1272"/>
      <c r="BB57" s="1272"/>
      <c r="BC57" s="1272"/>
      <c r="BD57" s="1274"/>
      <c r="BE57" s="1274"/>
      <c r="BF57" s="1274"/>
      <c r="BG57" s="1274"/>
      <c r="BH57" s="1274"/>
      <c r="BI57" s="1274"/>
      <c r="BJ57" s="1274"/>
      <c r="BK57" s="1274"/>
      <c r="BL57" s="1274"/>
      <c r="BM57" s="1274"/>
      <c r="BN57" s="1274"/>
      <c r="BO57" s="1274"/>
      <c r="BP57" s="1274"/>
      <c r="BQ57" s="1274"/>
      <c r="BR57" s="1274"/>
      <c r="BS57" s="1274"/>
      <c r="BT57" s="1274"/>
      <c r="BU57" s="1274"/>
      <c r="BV57" s="1274"/>
      <c r="BW57" s="1274"/>
      <c r="BX57" s="1274"/>
      <c r="BY57" s="1706">
        <v>100</v>
      </c>
      <c r="BZ57" s="1706">
        <v>100</v>
      </c>
      <c r="CA57" s="1706">
        <v>100</v>
      </c>
      <c r="CB57" s="1706">
        <v>100</v>
      </c>
      <c r="CC57" s="1706">
        <v>100</v>
      </c>
      <c r="CD57" s="1706">
        <v>100</v>
      </c>
      <c r="CE57" s="1706">
        <v>100</v>
      </c>
      <c r="CF57" s="1706">
        <v>100</v>
      </c>
      <c r="CG57" s="1706">
        <v>100</v>
      </c>
      <c r="CH57" s="1706">
        <v>100</v>
      </c>
      <c r="CI57" s="1706">
        <v>100</v>
      </c>
      <c r="CJ57" s="1706">
        <v>100</v>
      </c>
    </row>
    <row r="58" spans="1:88" s="249" customFormat="1" ht="45.95" customHeight="1">
      <c r="A58" s="1257" t="s">
        <v>462</v>
      </c>
      <c r="B58" s="1285" t="s">
        <v>1212</v>
      </c>
      <c r="C58" s="1257">
        <v>70</v>
      </c>
      <c r="D58" s="1724">
        <f t="shared" si="48"/>
        <v>2.8794734677087618E-2</v>
      </c>
      <c r="E58" s="1258"/>
      <c r="F58" s="1258"/>
      <c r="G58" s="1258"/>
      <c r="H58" s="1258"/>
      <c r="I58" s="1259">
        <v>75</v>
      </c>
      <c r="J58" s="1259">
        <v>100</v>
      </c>
      <c r="K58" s="1258"/>
      <c r="L58" s="1258"/>
      <c r="M58" s="1258"/>
      <c r="N58" s="1258"/>
      <c r="O58" s="1258"/>
      <c r="P58" s="1258"/>
      <c r="Q58" s="1258"/>
      <c r="R58" s="1258"/>
      <c r="S58" s="1258"/>
      <c r="T58" s="1258"/>
      <c r="U58" s="1258"/>
      <c r="V58" s="1258"/>
      <c r="W58" s="1258"/>
      <c r="X58" s="1258"/>
      <c r="Y58" s="1258"/>
      <c r="Z58" s="1258"/>
      <c r="AA58" s="1258"/>
      <c r="AB58" s="1258"/>
      <c r="AC58" s="1258"/>
      <c r="AD58" s="1258"/>
      <c r="AE58" s="1258"/>
      <c r="AF58" s="1258"/>
      <c r="AG58" s="1258"/>
      <c r="AH58" s="1258"/>
      <c r="AI58" s="1258"/>
      <c r="AJ58" s="1272"/>
      <c r="AK58" s="1272"/>
      <c r="AL58" s="1272"/>
      <c r="AM58" s="1272"/>
      <c r="AN58" s="1272"/>
      <c r="AO58" s="1272"/>
      <c r="AP58" s="1272"/>
      <c r="AQ58" s="1272"/>
      <c r="AR58" s="1273"/>
      <c r="AS58" s="1273"/>
      <c r="AT58" s="1273"/>
      <c r="AU58" s="1273"/>
      <c r="AV58" s="1273"/>
      <c r="AW58" s="1273"/>
      <c r="AX58" s="1273"/>
      <c r="AY58" s="1272"/>
      <c r="AZ58" s="1272"/>
      <c r="BA58" s="1272"/>
      <c r="BB58" s="1272"/>
      <c r="BC58" s="1272"/>
      <c r="BD58" s="1274"/>
      <c r="BE58" s="1274"/>
      <c r="BF58" s="1274"/>
      <c r="BG58" s="1274"/>
      <c r="BH58" s="1274"/>
      <c r="BI58" s="1274"/>
      <c r="BJ58" s="1274"/>
      <c r="BK58" s="1274"/>
      <c r="BL58" s="1274"/>
      <c r="BM58" s="1274"/>
      <c r="BN58" s="1274"/>
      <c r="BO58" s="1274"/>
      <c r="BP58" s="1274"/>
      <c r="BQ58" s="1274"/>
      <c r="BR58" s="1274"/>
      <c r="BS58" s="1274"/>
      <c r="BT58" s="1274"/>
      <c r="BU58" s="1274"/>
      <c r="BV58" s="1274"/>
      <c r="BW58" s="1274"/>
      <c r="BX58" s="1274"/>
      <c r="BY58" s="1706">
        <v>100</v>
      </c>
      <c r="BZ58" s="1706">
        <v>100</v>
      </c>
      <c r="CA58" s="1706">
        <v>100</v>
      </c>
      <c r="CB58" s="1706">
        <v>100</v>
      </c>
      <c r="CC58" s="1706">
        <v>100</v>
      </c>
      <c r="CD58" s="1706">
        <v>100</v>
      </c>
      <c r="CE58" s="1706">
        <v>100</v>
      </c>
      <c r="CF58" s="1706">
        <v>100</v>
      </c>
      <c r="CG58" s="1706">
        <v>100</v>
      </c>
      <c r="CH58" s="1706">
        <v>100</v>
      </c>
      <c r="CI58" s="1706">
        <v>100</v>
      </c>
      <c r="CJ58" s="1706">
        <v>100</v>
      </c>
    </row>
    <row r="59" spans="1:88" s="249" customFormat="1" ht="45.95" customHeight="1">
      <c r="A59" s="1257" t="s">
        <v>463</v>
      </c>
      <c r="B59" s="1285" t="s">
        <v>1213</v>
      </c>
      <c r="C59" s="1257">
        <v>56</v>
      </c>
      <c r="D59" s="1724">
        <f t="shared" si="48"/>
        <v>2.3035787741670095E-2</v>
      </c>
      <c r="E59" s="1258"/>
      <c r="F59" s="1258"/>
      <c r="G59" s="1258"/>
      <c r="H59" s="1258"/>
      <c r="I59" s="1259">
        <v>75</v>
      </c>
      <c r="J59" s="1259">
        <v>100</v>
      </c>
      <c r="K59" s="1258"/>
      <c r="L59" s="1258"/>
      <c r="M59" s="1258"/>
      <c r="N59" s="1258"/>
      <c r="O59" s="1258"/>
      <c r="P59" s="1258"/>
      <c r="Q59" s="1258"/>
      <c r="R59" s="1258"/>
      <c r="S59" s="1258"/>
      <c r="T59" s="1258"/>
      <c r="U59" s="1258"/>
      <c r="V59" s="1258"/>
      <c r="W59" s="1258"/>
      <c r="X59" s="1258"/>
      <c r="Y59" s="1258"/>
      <c r="Z59" s="1258"/>
      <c r="AA59" s="1258"/>
      <c r="AB59" s="1258"/>
      <c r="AC59" s="1258"/>
      <c r="AD59" s="1258"/>
      <c r="AE59" s="1258"/>
      <c r="AF59" s="1258"/>
      <c r="AG59" s="1258"/>
      <c r="AH59" s="1258"/>
      <c r="AI59" s="1258"/>
      <c r="AJ59" s="1272"/>
      <c r="AK59" s="1272"/>
      <c r="AL59" s="1272"/>
      <c r="AM59" s="1272"/>
      <c r="AN59" s="1272"/>
      <c r="AO59" s="1272"/>
      <c r="AP59" s="1272"/>
      <c r="AQ59" s="1272"/>
      <c r="AR59" s="1273"/>
      <c r="AS59" s="1273"/>
      <c r="AT59" s="1273"/>
      <c r="AU59" s="1273"/>
      <c r="AV59" s="1273"/>
      <c r="AW59" s="1273"/>
      <c r="AX59" s="1273"/>
      <c r="AY59" s="1272"/>
      <c r="AZ59" s="1272"/>
      <c r="BA59" s="1272"/>
      <c r="BB59" s="1272"/>
      <c r="BC59" s="1272"/>
      <c r="BD59" s="1274"/>
      <c r="BE59" s="1274"/>
      <c r="BF59" s="1274"/>
      <c r="BG59" s="1274"/>
      <c r="BH59" s="1274"/>
      <c r="BI59" s="1274"/>
      <c r="BJ59" s="1274"/>
      <c r="BK59" s="1274"/>
      <c r="BL59" s="1274"/>
      <c r="BM59" s="1274"/>
      <c r="BN59" s="1274"/>
      <c r="BO59" s="1274"/>
      <c r="BP59" s="1274"/>
      <c r="BQ59" s="1274"/>
      <c r="BR59" s="1274"/>
      <c r="BS59" s="1274"/>
      <c r="BT59" s="1274"/>
      <c r="BU59" s="1274"/>
      <c r="BV59" s="1274"/>
      <c r="BW59" s="1274"/>
      <c r="BX59" s="1274"/>
      <c r="BY59" s="1706"/>
      <c r="BZ59" s="1706"/>
      <c r="CA59" s="1706"/>
      <c r="CB59" s="1706"/>
      <c r="CC59" s="1706"/>
      <c r="CD59" s="1706"/>
      <c r="CE59" s="1706"/>
      <c r="CF59" s="1706"/>
      <c r="CG59" s="1706"/>
      <c r="CH59" s="1706"/>
      <c r="CI59" s="1706"/>
      <c r="CJ59" s="1706"/>
    </row>
    <row r="60" spans="1:88" s="249" customFormat="1" ht="45.95" customHeight="1">
      <c r="A60" s="1257" t="s">
        <v>464</v>
      </c>
      <c r="B60" s="1285" t="s">
        <v>1214</v>
      </c>
      <c r="C60" s="1257">
        <v>146</v>
      </c>
      <c r="D60" s="1724">
        <f t="shared" si="48"/>
        <v>6.0057589469354175E-2</v>
      </c>
      <c r="E60" s="1258"/>
      <c r="F60" s="1258"/>
      <c r="G60" s="1258"/>
      <c r="H60" s="1258"/>
      <c r="I60" s="1258"/>
      <c r="J60" s="1259">
        <v>75</v>
      </c>
      <c r="K60" s="1259">
        <v>100</v>
      </c>
      <c r="L60" s="1258"/>
      <c r="M60" s="1258"/>
      <c r="N60" s="1258"/>
      <c r="O60" s="1258"/>
      <c r="P60" s="1258"/>
      <c r="Q60" s="1258"/>
      <c r="R60" s="1258"/>
      <c r="S60" s="1258"/>
      <c r="T60" s="1258"/>
      <c r="U60" s="1258"/>
      <c r="V60" s="1258"/>
      <c r="W60" s="1258"/>
      <c r="X60" s="1258"/>
      <c r="Y60" s="1258"/>
      <c r="Z60" s="1258"/>
      <c r="AA60" s="1258"/>
      <c r="AB60" s="1258"/>
      <c r="AC60" s="1258"/>
      <c r="AD60" s="1258"/>
      <c r="AE60" s="1258"/>
      <c r="AF60" s="1258"/>
      <c r="AG60" s="1258"/>
      <c r="AH60" s="1258"/>
      <c r="AI60" s="1258"/>
      <c r="AJ60" s="1272"/>
      <c r="AK60" s="1272"/>
      <c r="AL60" s="1272"/>
      <c r="AM60" s="1272"/>
      <c r="AN60" s="1272"/>
      <c r="AO60" s="1272"/>
      <c r="AP60" s="1272"/>
      <c r="AQ60" s="1272"/>
      <c r="AR60" s="1273"/>
      <c r="AS60" s="1273"/>
      <c r="AT60" s="1273"/>
      <c r="AU60" s="1273"/>
      <c r="AV60" s="1273"/>
      <c r="AW60" s="1273"/>
      <c r="AX60" s="1273"/>
      <c r="AY60" s="1272"/>
      <c r="AZ60" s="1272"/>
      <c r="BA60" s="1272"/>
      <c r="BB60" s="1272"/>
      <c r="BC60" s="1272"/>
      <c r="BD60" s="1274"/>
      <c r="BE60" s="1274"/>
      <c r="BF60" s="1274"/>
      <c r="BG60" s="1274"/>
      <c r="BH60" s="1274"/>
      <c r="BI60" s="1274"/>
      <c r="BJ60" s="1274"/>
      <c r="BK60" s="1274"/>
      <c r="BL60" s="1274"/>
      <c r="BM60" s="1274"/>
      <c r="BN60" s="1274"/>
      <c r="BO60" s="1274"/>
      <c r="BP60" s="1274"/>
      <c r="BQ60" s="1274"/>
      <c r="BR60" s="1274"/>
      <c r="BS60" s="1274"/>
      <c r="BT60" s="1274"/>
      <c r="BU60" s="1274"/>
      <c r="BV60" s="1274"/>
      <c r="BW60" s="1274"/>
      <c r="BX60" s="1274"/>
      <c r="BY60" s="1706">
        <v>100</v>
      </c>
      <c r="BZ60" s="1706">
        <v>100</v>
      </c>
      <c r="CA60" s="1706">
        <v>100</v>
      </c>
      <c r="CB60" s="1706">
        <v>100</v>
      </c>
      <c r="CC60" s="1706">
        <v>100</v>
      </c>
      <c r="CD60" s="1706">
        <v>100</v>
      </c>
      <c r="CE60" s="1706">
        <v>100</v>
      </c>
      <c r="CF60" s="1706">
        <v>100</v>
      </c>
      <c r="CG60" s="1706">
        <v>100</v>
      </c>
      <c r="CH60" s="1706">
        <v>100</v>
      </c>
      <c r="CI60" s="1706">
        <v>100</v>
      </c>
      <c r="CJ60" s="1706">
        <v>100</v>
      </c>
    </row>
    <row r="61" spans="1:88" s="249" customFormat="1" ht="45.95" customHeight="1">
      <c r="A61" s="1257" t="s">
        <v>465</v>
      </c>
      <c r="B61" s="1285" t="s">
        <v>1215</v>
      </c>
      <c r="C61" s="1257">
        <v>68</v>
      </c>
      <c r="D61" s="1724">
        <f t="shared" si="48"/>
        <v>2.7972027972027972E-2</v>
      </c>
      <c r="E61" s="1258"/>
      <c r="F61" s="1258"/>
      <c r="G61" s="1258"/>
      <c r="H61" s="1258"/>
      <c r="I61" s="1258"/>
      <c r="J61" s="1259">
        <v>75</v>
      </c>
      <c r="K61" s="1259">
        <v>100</v>
      </c>
      <c r="L61" s="1258"/>
      <c r="M61" s="1258"/>
      <c r="N61" s="1258"/>
      <c r="O61" s="1258"/>
      <c r="P61" s="1258"/>
      <c r="Q61" s="1258"/>
      <c r="R61" s="1258"/>
      <c r="S61" s="1258"/>
      <c r="T61" s="1258"/>
      <c r="U61" s="1258"/>
      <c r="V61" s="1258"/>
      <c r="W61" s="1258"/>
      <c r="X61" s="1258"/>
      <c r="Y61" s="1258"/>
      <c r="Z61" s="1258"/>
      <c r="AA61" s="1258"/>
      <c r="AB61" s="1258"/>
      <c r="AC61" s="1258"/>
      <c r="AD61" s="1258"/>
      <c r="AE61" s="1258"/>
      <c r="AF61" s="1258"/>
      <c r="AG61" s="1258"/>
      <c r="AH61" s="1258"/>
      <c r="AI61" s="1258"/>
      <c r="AJ61" s="1272"/>
      <c r="AK61" s="1272"/>
      <c r="AL61" s="1272"/>
      <c r="AM61" s="1272"/>
      <c r="AN61" s="1272"/>
      <c r="AO61" s="1272"/>
      <c r="AP61" s="1272"/>
      <c r="AQ61" s="1272"/>
      <c r="AR61" s="1273"/>
      <c r="AS61" s="1273"/>
      <c r="AT61" s="1273"/>
      <c r="AU61" s="1273"/>
      <c r="AV61" s="1273"/>
      <c r="AW61" s="1273"/>
      <c r="AX61" s="1273"/>
      <c r="AY61" s="1272"/>
      <c r="AZ61" s="1272"/>
      <c r="BA61" s="1272"/>
      <c r="BB61" s="1272"/>
      <c r="BC61" s="1272"/>
      <c r="BD61" s="1274"/>
      <c r="BE61" s="1274"/>
      <c r="BF61" s="1274"/>
      <c r="BG61" s="1274"/>
      <c r="BH61" s="1274"/>
      <c r="BI61" s="1274"/>
      <c r="BJ61" s="1274"/>
      <c r="BK61" s="1274"/>
      <c r="BL61" s="1274"/>
      <c r="BM61" s="1274"/>
      <c r="BN61" s="1274"/>
      <c r="BO61" s="1274"/>
      <c r="BP61" s="1274"/>
      <c r="BQ61" s="1274"/>
      <c r="BR61" s="1274"/>
      <c r="BS61" s="1274"/>
      <c r="BT61" s="1274"/>
      <c r="BU61" s="1274"/>
      <c r="BV61" s="1274"/>
      <c r="BW61" s="1274"/>
      <c r="BX61" s="1274"/>
      <c r="BY61" s="1706">
        <v>100</v>
      </c>
      <c r="BZ61" s="1706">
        <v>100</v>
      </c>
      <c r="CA61" s="1706">
        <v>100</v>
      </c>
      <c r="CB61" s="1706">
        <v>100</v>
      </c>
      <c r="CC61" s="1706">
        <v>100</v>
      </c>
      <c r="CD61" s="1706">
        <v>100</v>
      </c>
      <c r="CE61" s="1706">
        <v>100</v>
      </c>
      <c r="CF61" s="1706">
        <v>100</v>
      </c>
      <c r="CG61" s="1706">
        <v>100</v>
      </c>
      <c r="CH61" s="1706">
        <v>100</v>
      </c>
      <c r="CI61" s="1706">
        <v>100</v>
      </c>
      <c r="CJ61" s="1706">
        <v>100</v>
      </c>
    </row>
    <row r="62" spans="1:88" s="249" customFormat="1" ht="45.95" customHeight="1">
      <c r="A62" s="1257" t="s">
        <v>466</v>
      </c>
      <c r="B62" s="1285" t="s">
        <v>1216</v>
      </c>
      <c r="C62" s="1257">
        <v>57</v>
      </c>
      <c r="D62" s="1724">
        <f t="shared" si="48"/>
        <v>2.3447141094199916E-2</v>
      </c>
      <c r="E62" s="1258"/>
      <c r="F62" s="1258"/>
      <c r="G62" s="1258"/>
      <c r="H62" s="1258"/>
      <c r="I62" s="1258"/>
      <c r="J62" s="1258"/>
      <c r="K62" s="1259">
        <v>75</v>
      </c>
      <c r="L62" s="1259">
        <v>100</v>
      </c>
      <c r="M62" s="1258"/>
      <c r="N62" s="1258"/>
      <c r="O62" s="1258"/>
      <c r="P62" s="1258"/>
      <c r="Q62" s="1258"/>
      <c r="R62" s="1258"/>
      <c r="S62" s="1258"/>
      <c r="T62" s="1258"/>
      <c r="U62" s="1258"/>
      <c r="V62" s="1258"/>
      <c r="W62" s="1258"/>
      <c r="X62" s="1258"/>
      <c r="Y62" s="1258"/>
      <c r="Z62" s="1258"/>
      <c r="AA62" s="1258"/>
      <c r="AB62" s="1258"/>
      <c r="AC62" s="1258"/>
      <c r="AD62" s="1258"/>
      <c r="AE62" s="1258"/>
      <c r="AF62" s="1258"/>
      <c r="AG62" s="1258"/>
      <c r="AH62" s="1258"/>
      <c r="AI62" s="1258"/>
      <c r="AJ62" s="1272"/>
      <c r="AK62" s="1272"/>
      <c r="AL62" s="1272"/>
      <c r="AM62" s="1272"/>
      <c r="AN62" s="1272"/>
      <c r="AO62" s="1272"/>
      <c r="AP62" s="1272"/>
      <c r="AQ62" s="1272"/>
      <c r="AR62" s="1273"/>
      <c r="AS62" s="1273"/>
      <c r="AT62" s="1273"/>
      <c r="AU62" s="1273"/>
      <c r="AV62" s="1273"/>
      <c r="AW62" s="1273"/>
      <c r="AX62" s="1273"/>
      <c r="AY62" s="1272"/>
      <c r="AZ62" s="1272"/>
      <c r="BA62" s="1272"/>
      <c r="BB62" s="1272"/>
      <c r="BC62" s="1272"/>
      <c r="BD62" s="1274"/>
      <c r="BE62" s="1274"/>
      <c r="BF62" s="1274"/>
      <c r="BG62" s="1274"/>
      <c r="BH62" s="1274"/>
      <c r="BI62" s="1274"/>
      <c r="BJ62" s="1274"/>
      <c r="BK62" s="1274"/>
      <c r="BL62" s="1274"/>
      <c r="BM62" s="1274"/>
      <c r="BN62" s="1274"/>
      <c r="BO62" s="1274"/>
      <c r="BP62" s="1274"/>
      <c r="BQ62" s="1274"/>
      <c r="BR62" s="1274"/>
      <c r="BS62" s="1274"/>
      <c r="BT62" s="1274"/>
      <c r="BU62" s="1274"/>
      <c r="BV62" s="1274"/>
      <c r="BW62" s="1274"/>
      <c r="BX62" s="1274"/>
      <c r="BY62" s="1706">
        <v>100</v>
      </c>
      <c r="BZ62" s="1706">
        <v>100</v>
      </c>
      <c r="CA62" s="1706">
        <v>100</v>
      </c>
      <c r="CB62" s="1706">
        <v>100</v>
      </c>
      <c r="CC62" s="1706">
        <v>100</v>
      </c>
      <c r="CD62" s="1706">
        <v>100</v>
      </c>
      <c r="CE62" s="1706">
        <v>100</v>
      </c>
      <c r="CF62" s="1706">
        <v>100</v>
      </c>
      <c r="CG62" s="1706">
        <v>100</v>
      </c>
      <c r="CH62" s="1706">
        <v>100</v>
      </c>
      <c r="CI62" s="1706">
        <v>100</v>
      </c>
      <c r="CJ62" s="1706">
        <v>100</v>
      </c>
    </row>
    <row r="63" spans="1:88" s="249" customFormat="1" ht="45.95" customHeight="1">
      <c r="A63" s="1257" t="s">
        <v>467</v>
      </c>
      <c r="B63" s="1285" t="s">
        <v>1217</v>
      </c>
      <c r="C63" s="1257">
        <v>56</v>
      </c>
      <c r="D63" s="1724">
        <f t="shared" si="48"/>
        <v>2.3035787741670095E-2</v>
      </c>
      <c r="E63" s="1258"/>
      <c r="F63" s="1258"/>
      <c r="G63" s="1258"/>
      <c r="H63" s="1258"/>
      <c r="I63" s="1258"/>
      <c r="J63" s="1258"/>
      <c r="K63" s="1259">
        <v>75</v>
      </c>
      <c r="L63" s="1259">
        <v>100</v>
      </c>
      <c r="M63" s="1258"/>
      <c r="N63" s="1258"/>
      <c r="O63" s="1258"/>
      <c r="P63" s="1258"/>
      <c r="Q63" s="1258"/>
      <c r="R63" s="1258"/>
      <c r="S63" s="1258"/>
      <c r="T63" s="1258"/>
      <c r="U63" s="1258"/>
      <c r="V63" s="1258"/>
      <c r="W63" s="1258"/>
      <c r="X63" s="1258"/>
      <c r="Y63" s="1258"/>
      <c r="Z63" s="1258"/>
      <c r="AA63" s="1258"/>
      <c r="AB63" s="1258"/>
      <c r="AC63" s="1258"/>
      <c r="AD63" s="1258"/>
      <c r="AE63" s="1258"/>
      <c r="AF63" s="1258"/>
      <c r="AG63" s="1258"/>
      <c r="AH63" s="1258"/>
      <c r="AI63" s="1258"/>
      <c r="AJ63" s="1272"/>
      <c r="AK63" s="1272"/>
      <c r="AL63" s="1272"/>
      <c r="AM63" s="1272"/>
      <c r="AN63" s="1272"/>
      <c r="AO63" s="1272"/>
      <c r="AP63" s="1272"/>
      <c r="AQ63" s="1272"/>
      <c r="AR63" s="1273"/>
      <c r="AS63" s="1273"/>
      <c r="AT63" s="1273"/>
      <c r="AU63" s="1273"/>
      <c r="AV63" s="1273"/>
      <c r="AW63" s="1273"/>
      <c r="AX63" s="1273"/>
      <c r="AY63" s="1272"/>
      <c r="AZ63" s="1272"/>
      <c r="BA63" s="1272"/>
      <c r="BB63" s="1272"/>
      <c r="BC63" s="1272"/>
      <c r="BD63" s="1274"/>
      <c r="BE63" s="1274"/>
      <c r="BF63" s="1274"/>
      <c r="BG63" s="1274"/>
      <c r="BH63" s="1274"/>
      <c r="BI63" s="1274"/>
      <c r="BJ63" s="1274"/>
      <c r="BK63" s="1274"/>
      <c r="BL63" s="1274"/>
      <c r="BM63" s="1274"/>
      <c r="BN63" s="1274"/>
      <c r="BO63" s="1274"/>
      <c r="BP63" s="1274"/>
      <c r="BQ63" s="1274"/>
      <c r="BR63" s="1274"/>
      <c r="BS63" s="1274"/>
      <c r="BT63" s="1274"/>
      <c r="BU63" s="1274"/>
      <c r="BV63" s="1274"/>
      <c r="BW63" s="1274"/>
      <c r="BX63" s="1274"/>
      <c r="BY63" s="1706"/>
      <c r="BZ63" s="1706"/>
      <c r="CA63" s="1706"/>
      <c r="CB63" s="1706"/>
      <c r="CC63" s="1706"/>
      <c r="CD63" s="1706"/>
      <c r="CE63" s="1706"/>
      <c r="CF63" s="1706"/>
      <c r="CG63" s="1706"/>
      <c r="CH63" s="1706"/>
      <c r="CI63" s="1706"/>
      <c r="CJ63" s="1706"/>
    </row>
    <row r="64" spans="1:88" s="249" customFormat="1" ht="45.95" customHeight="1">
      <c r="A64" s="1257" t="s">
        <v>468</v>
      </c>
      <c r="B64" s="1285" t="s">
        <v>1218</v>
      </c>
      <c r="C64" s="1257">
        <v>122</v>
      </c>
      <c r="D64" s="1724">
        <f t="shared" si="48"/>
        <v>5.0185109008638422E-2</v>
      </c>
      <c r="E64" s="1258"/>
      <c r="F64" s="1258"/>
      <c r="G64" s="1258"/>
      <c r="H64" s="1258"/>
      <c r="I64" s="1258"/>
      <c r="J64" s="1258"/>
      <c r="K64" s="1258"/>
      <c r="L64" s="1259">
        <v>75</v>
      </c>
      <c r="M64" s="1259">
        <v>100</v>
      </c>
      <c r="N64" s="1258"/>
      <c r="O64" s="1258"/>
      <c r="P64" s="1258"/>
      <c r="Q64" s="1258"/>
      <c r="R64" s="1258"/>
      <c r="S64" s="1258"/>
      <c r="T64" s="1258"/>
      <c r="U64" s="1258"/>
      <c r="V64" s="1258"/>
      <c r="W64" s="1258"/>
      <c r="X64" s="1258"/>
      <c r="Y64" s="1258"/>
      <c r="Z64" s="1258"/>
      <c r="AA64" s="1258"/>
      <c r="AB64" s="1258"/>
      <c r="AC64" s="1258"/>
      <c r="AD64" s="1258"/>
      <c r="AE64" s="1258"/>
      <c r="AF64" s="1258"/>
      <c r="AG64" s="1258"/>
      <c r="AH64" s="1258"/>
      <c r="AI64" s="1258"/>
      <c r="AJ64" s="1272"/>
      <c r="AK64" s="1272"/>
      <c r="AL64" s="1272"/>
      <c r="AM64" s="1272"/>
      <c r="AN64" s="1272"/>
      <c r="AO64" s="1272"/>
      <c r="AP64" s="1272"/>
      <c r="AQ64" s="1272"/>
      <c r="AR64" s="1273"/>
      <c r="AS64" s="1273"/>
      <c r="AT64" s="1273"/>
      <c r="AU64" s="1273"/>
      <c r="AV64" s="1273"/>
      <c r="AW64" s="1273"/>
      <c r="AX64" s="1273"/>
      <c r="AY64" s="1272"/>
      <c r="AZ64" s="1272"/>
      <c r="BA64" s="1272"/>
      <c r="BB64" s="1272"/>
      <c r="BC64" s="1272"/>
      <c r="BD64" s="1274"/>
      <c r="BE64" s="1274"/>
      <c r="BF64" s="1274"/>
      <c r="BG64" s="1274"/>
      <c r="BH64" s="1274"/>
      <c r="BI64" s="1274"/>
      <c r="BJ64" s="1274"/>
      <c r="BK64" s="1274"/>
      <c r="BL64" s="1274"/>
      <c r="BM64" s="1274"/>
      <c r="BN64" s="1274"/>
      <c r="BO64" s="1274"/>
      <c r="BP64" s="1274"/>
      <c r="BQ64" s="1274"/>
      <c r="BR64" s="1274"/>
      <c r="BS64" s="1274"/>
      <c r="BT64" s="1274"/>
      <c r="BU64" s="1274"/>
      <c r="BV64" s="1274"/>
      <c r="BW64" s="1274"/>
      <c r="BX64" s="1274"/>
      <c r="BY64" s="1706">
        <v>100</v>
      </c>
      <c r="BZ64" s="1706">
        <v>100</v>
      </c>
      <c r="CA64" s="1706">
        <v>100</v>
      </c>
      <c r="CB64" s="1706">
        <v>100</v>
      </c>
      <c r="CC64" s="1706">
        <v>100</v>
      </c>
      <c r="CD64" s="1706">
        <v>100</v>
      </c>
      <c r="CE64" s="1706">
        <v>100</v>
      </c>
      <c r="CF64" s="1706">
        <v>100</v>
      </c>
      <c r="CG64" s="1706">
        <v>100</v>
      </c>
      <c r="CH64" s="1706">
        <v>100</v>
      </c>
      <c r="CI64" s="1706">
        <v>100</v>
      </c>
      <c r="CJ64" s="1706">
        <v>100</v>
      </c>
    </row>
    <row r="65" spans="1:88" s="249" customFormat="1" ht="45.95" customHeight="1">
      <c r="A65" s="1257" t="s">
        <v>469</v>
      </c>
      <c r="B65" s="1285" t="s">
        <v>1219</v>
      </c>
      <c r="C65" s="1257">
        <v>56</v>
      </c>
      <c r="D65" s="1724">
        <f t="shared" si="48"/>
        <v>2.3035787741670095E-2</v>
      </c>
      <c r="E65" s="1258"/>
      <c r="F65" s="1258"/>
      <c r="G65" s="1258"/>
      <c r="H65" s="1258"/>
      <c r="I65" s="1258"/>
      <c r="J65" s="1258"/>
      <c r="K65" s="1258"/>
      <c r="L65" s="1259">
        <v>75</v>
      </c>
      <c r="M65" s="1259">
        <v>100</v>
      </c>
      <c r="N65" s="1258"/>
      <c r="O65" s="1258"/>
      <c r="P65" s="1258"/>
      <c r="Q65" s="1258"/>
      <c r="R65" s="1258"/>
      <c r="S65" s="1258"/>
      <c r="T65" s="1258"/>
      <c r="U65" s="1258"/>
      <c r="V65" s="1258"/>
      <c r="W65" s="1258"/>
      <c r="X65" s="1258"/>
      <c r="Y65" s="1258"/>
      <c r="Z65" s="1258"/>
      <c r="AA65" s="1258"/>
      <c r="AB65" s="1258"/>
      <c r="AC65" s="1258"/>
      <c r="AD65" s="1258"/>
      <c r="AE65" s="1258"/>
      <c r="AF65" s="1258"/>
      <c r="AG65" s="1258"/>
      <c r="AH65" s="1258"/>
      <c r="AI65" s="1258"/>
      <c r="AJ65" s="1272"/>
      <c r="AK65" s="1272"/>
      <c r="AL65" s="1272"/>
      <c r="AM65" s="1272"/>
      <c r="AN65" s="1272"/>
      <c r="AO65" s="1272"/>
      <c r="AP65" s="1272"/>
      <c r="AQ65" s="1272"/>
      <c r="AR65" s="1273"/>
      <c r="AS65" s="1273"/>
      <c r="AT65" s="1273"/>
      <c r="AU65" s="1273"/>
      <c r="AV65" s="1273"/>
      <c r="AW65" s="1273"/>
      <c r="AX65" s="1273"/>
      <c r="AY65" s="1272"/>
      <c r="AZ65" s="1272"/>
      <c r="BA65" s="1272"/>
      <c r="BB65" s="1272"/>
      <c r="BC65" s="1272"/>
      <c r="BD65" s="1274"/>
      <c r="BE65" s="1274"/>
      <c r="BF65" s="1274"/>
      <c r="BG65" s="1274"/>
      <c r="BH65" s="1274"/>
      <c r="BI65" s="1274"/>
      <c r="BJ65" s="1274"/>
      <c r="BK65" s="1274"/>
      <c r="BL65" s="1274"/>
      <c r="BM65" s="1274"/>
      <c r="BN65" s="1274"/>
      <c r="BO65" s="1274"/>
      <c r="BP65" s="1274"/>
      <c r="BQ65" s="1274"/>
      <c r="BR65" s="1274"/>
      <c r="BS65" s="1274"/>
      <c r="BT65" s="1274"/>
      <c r="BU65" s="1274"/>
      <c r="BV65" s="1274"/>
      <c r="BW65" s="1274"/>
      <c r="BX65" s="1274"/>
      <c r="BY65" s="1706">
        <v>100</v>
      </c>
      <c r="BZ65" s="1706">
        <v>100</v>
      </c>
      <c r="CA65" s="1706">
        <v>100</v>
      </c>
      <c r="CB65" s="1706">
        <v>100</v>
      </c>
      <c r="CC65" s="1706">
        <v>100</v>
      </c>
      <c r="CD65" s="1706">
        <v>100</v>
      </c>
      <c r="CE65" s="1706">
        <v>100</v>
      </c>
      <c r="CF65" s="1706">
        <v>100</v>
      </c>
      <c r="CG65" s="1706">
        <v>100</v>
      </c>
      <c r="CH65" s="1706">
        <v>100</v>
      </c>
      <c r="CI65" s="1706">
        <v>100</v>
      </c>
      <c r="CJ65" s="1706">
        <v>100</v>
      </c>
    </row>
    <row r="66" spans="1:88" s="249" customFormat="1" ht="45.95" customHeight="1">
      <c r="A66" s="1257" t="s">
        <v>470</v>
      </c>
      <c r="B66" s="1285" t="s">
        <v>1220</v>
      </c>
      <c r="C66" s="1257">
        <v>110</v>
      </c>
      <c r="D66" s="1724">
        <f t="shared" si="48"/>
        <v>4.5248868778280542E-2</v>
      </c>
      <c r="E66" s="1258"/>
      <c r="F66" s="1258"/>
      <c r="G66" s="1258"/>
      <c r="H66" s="1258"/>
      <c r="I66" s="1258"/>
      <c r="J66" s="1258"/>
      <c r="K66" s="1258"/>
      <c r="L66" s="1258"/>
      <c r="M66" s="1259">
        <v>75</v>
      </c>
      <c r="N66" s="1259">
        <v>100</v>
      </c>
      <c r="O66" s="1258"/>
      <c r="P66" s="1258"/>
      <c r="Q66" s="1258"/>
      <c r="R66" s="1258"/>
      <c r="S66" s="1258"/>
      <c r="T66" s="1258"/>
      <c r="U66" s="1258"/>
      <c r="V66" s="1258"/>
      <c r="W66" s="1258"/>
      <c r="X66" s="1258"/>
      <c r="Y66" s="1258"/>
      <c r="Z66" s="1258"/>
      <c r="AA66" s="1258"/>
      <c r="AB66" s="1258"/>
      <c r="AC66" s="1258"/>
      <c r="AD66" s="1258"/>
      <c r="AE66" s="1258"/>
      <c r="AF66" s="1258"/>
      <c r="AG66" s="1258"/>
      <c r="AH66" s="1258"/>
      <c r="AI66" s="1258"/>
      <c r="AJ66" s="1272"/>
      <c r="AK66" s="1272"/>
      <c r="AL66" s="1272"/>
      <c r="AM66" s="1272"/>
      <c r="AN66" s="1272"/>
      <c r="AO66" s="1272"/>
      <c r="AP66" s="1272"/>
      <c r="AQ66" s="1272"/>
      <c r="AR66" s="1273"/>
      <c r="AS66" s="1273"/>
      <c r="AT66" s="1273"/>
      <c r="AU66" s="1273"/>
      <c r="AV66" s="1273"/>
      <c r="AW66" s="1273"/>
      <c r="AX66" s="1273"/>
      <c r="AY66" s="1272"/>
      <c r="AZ66" s="1272"/>
      <c r="BA66" s="1272"/>
      <c r="BB66" s="1272"/>
      <c r="BC66" s="1272"/>
      <c r="BD66" s="1274"/>
      <c r="BE66" s="1274"/>
      <c r="BF66" s="1274"/>
      <c r="BG66" s="1274"/>
      <c r="BH66" s="1274"/>
      <c r="BI66" s="1274"/>
      <c r="BJ66" s="1274"/>
      <c r="BK66" s="1274"/>
      <c r="BL66" s="1274"/>
      <c r="BM66" s="1274"/>
      <c r="BN66" s="1274"/>
      <c r="BO66" s="1274"/>
      <c r="BP66" s="1274"/>
      <c r="BQ66" s="1274"/>
      <c r="BR66" s="1274"/>
      <c r="BS66" s="1274"/>
      <c r="BT66" s="1274"/>
      <c r="BU66" s="1274"/>
      <c r="BV66" s="1274"/>
      <c r="BW66" s="1274"/>
      <c r="BX66" s="1274"/>
      <c r="BY66" s="1706">
        <v>100</v>
      </c>
      <c r="BZ66" s="1706">
        <v>100</v>
      </c>
      <c r="CA66" s="1706">
        <v>100</v>
      </c>
      <c r="CB66" s="1706">
        <v>100</v>
      </c>
      <c r="CC66" s="1706">
        <v>100</v>
      </c>
      <c r="CD66" s="1706">
        <v>100</v>
      </c>
      <c r="CE66" s="1706">
        <v>100</v>
      </c>
      <c r="CF66" s="1706">
        <v>100</v>
      </c>
      <c r="CG66" s="1706">
        <v>100</v>
      </c>
      <c r="CH66" s="1706">
        <v>100</v>
      </c>
      <c r="CI66" s="1706">
        <v>100</v>
      </c>
      <c r="CJ66" s="1706">
        <v>100</v>
      </c>
    </row>
    <row r="67" spans="1:88" s="249" customFormat="1" ht="45.95" customHeight="1">
      <c r="A67" s="1257" t="s">
        <v>97</v>
      </c>
      <c r="B67" s="1285" t="s">
        <v>1221</v>
      </c>
      <c r="C67" s="1257">
        <v>100</v>
      </c>
      <c r="D67" s="1724">
        <f t="shared" si="48"/>
        <v>4.1135335252982311E-2</v>
      </c>
      <c r="E67" s="1258"/>
      <c r="F67" s="1258"/>
      <c r="G67" s="1258"/>
      <c r="H67" s="1258"/>
      <c r="I67" s="1258"/>
      <c r="J67" s="1258"/>
      <c r="K67" s="1258"/>
      <c r="L67" s="1258"/>
      <c r="M67" s="1259">
        <v>75</v>
      </c>
      <c r="N67" s="1259">
        <v>100</v>
      </c>
      <c r="O67" s="1258"/>
      <c r="P67" s="1258"/>
      <c r="Q67" s="1258"/>
      <c r="R67" s="1258"/>
      <c r="S67" s="1258"/>
      <c r="T67" s="1258"/>
      <c r="U67" s="1258"/>
      <c r="V67" s="1258"/>
      <c r="W67" s="1258"/>
      <c r="X67" s="1258"/>
      <c r="Y67" s="1258"/>
      <c r="Z67" s="1258"/>
      <c r="AA67" s="1258"/>
      <c r="AB67" s="1258"/>
      <c r="AC67" s="1258"/>
      <c r="AD67" s="1258"/>
      <c r="AE67" s="1258"/>
      <c r="AF67" s="1258"/>
      <c r="AG67" s="1258"/>
      <c r="AH67" s="1258"/>
      <c r="AI67" s="1258"/>
      <c r="AJ67" s="1272"/>
      <c r="AK67" s="1272"/>
      <c r="AL67" s="1272"/>
      <c r="AM67" s="1272"/>
      <c r="AN67" s="1272"/>
      <c r="AO67" s="1272"/>
      <c r="AP67" s="1272"/>
      <c r="AQ67" s="1272"/>
      <c r="AR67" s="1273"/>
      <c r="AS67" s="1273"/>
      <c r="AT67" s="1273"/>
      <c r="AU67" s="1273"/>
      <c r="AV67" s="1273"/>
      <c r="AW67" s="1273"/>
      <c r="AX67" s="1273"/>
      <c r="AY67" s="1272"/>
      <c r="AZ67" s="1272"/>
      <c r="BA67" s="1272"/>
      <c r="BB67" s="1272"/>
      <c r="BC67" s="1272"/>
      <c r="BD67" s="1274"/>
      <c r="BE67" s="1274"/>
      <c r="BF67" s="1274"/>
      <c r="BG67" s="1274"/>
      <c r="BH67" s="1274"/>
      <c r="BI67" s="1274"/>
      <c r="BJ67" s="1274"/>
      <c r="BK67" s="1274"/>
      <c r="BL67" s="1274"/>
      <c r="BM67" s="1274"/>
      <c r="BN67" s="1274"/>
      <c r="BO67" s="1274"/>
      <c r="BP67" s="1274"/>
      <c r="BQ67" s="1274"/>
      <c r="BR67" s="1274"/>
      <c r="BS67" s="1274"/>
      <c r="BT67" s="1274"/>
      <c r="BU67" s="1274"/>
      <c r="BV67" s="1274"/>
      <c r="BW67" s="1274"/>
      <c r="BX67" s="1274"/>
      <c r="BY67" s="1706">
        <v>100</v>
      </c>
      <c r="BZ67" s="1706">
        <v>100</v>
      </c>
      <c r="CA67" s="1706">
        <v>100</v>
      </c>
      <c r="CB67" s="1706">
        <v>100</v>
      </c>
      <c r="CC67" s="1706">
        <v>100</v>
      </c>
      <c r="CD67" s="1706">
        <v>100</v>
      </c>
      <c r="CE67" s="1706">
        <v>100</v>
      </c>
      <c r="CF67" s="1706">
        <v>100</v>
      </c>
      <c r="CG67" s="1706">
        <v>100</v>
      </c>
      <c r="CH67" s="1706">
        <v>100</v>
      </c>
      <c r="CI67" s="1706">
        <v>100</v>
      </c>
      <c r="CJ67" s="1706">
        <v>100</v>
      </c>
    </row>
    <row r="68" spans="1:88" s="249" customFormat="1" ht="45" customHeight="1">
      <c r="A68" s="1257" t="s">
        <v>99</v>
      </c>
      <c r="B68" s="1285" t="s">
        <v>1222</v>
      </c>
      <c r="C68" s="1257">
        <v>56</v>
      </c>
      <c r="D68" s="1724">
        <f t="shared" si="48"/>
        <v>2.3035787741670095E-2</v>
      </c>
      <c r="E68" s="1258"/>
      <c r="F68" s="1258"/>
      <c r="G68" s="1258"/>
      <c r="H68" s="1258"/>
      <c r="I68" s="1258"/>
      <c r="J68" s="1258"/>
      <c r="K68" s="1258"/>
      <c r="L68" s="1258"/>
      <c r="M68" s="1258"/>
      <c r="N68" s="1259">
        <v>75</v>
      </c>
      <c r="O68" s="1259">
        <v>100</v>
      </c>
      <c r="P68" s="1258"/>
      <c r="Q68" s="1258"/>
      <c r="R68" s="1258"/>
      <c r="S68" s="1258"/>
      <c r="T68" s="1258"/>
      <c r="U68" s="1258"/>
      <c r="V68" s="1258"/>
      <c r="W68" s="1258"/>
      <c r="X68" s="1258"/>
      <c r="Y68" s="1258"/>
      <c r="Z68" s="1258"/>
      <c r="AA68" s="1258"/>
      <c r="AB68" s="1258"/>
      <c r="AC68" s="1258"/>
      <c r="AD68" s="1258"/>
      <c r="AE68" s="1258"/>
      <c r="AF68" s="1258"/>
      <c r="AG68" s="1258"/>
      <c r="AH68" s="1258"/>
      <c r="AI68" s="1258"/>
      <c r="AJ68" s="1272"/>
      <c r="AK68" s="1272"/>
      <c r="AL68" s="1272"/>
      <c r="AM68" s="1272"/>
      <c r="AN68" s="1272"/>
      <c r="AO68" s="1272"/>
      <c r="AP68" s="1272"/>
      <c r="AQ68" s="1272"/>
      <c r="AR68" s="1273"/>
      <c r="AS68" s="1273"/>
      <c r="AT68" s="1273"/>
      <c r="AU68" s="1273"/>
      <c r="AV68" s="1273"/>
      <c r="AW68" s="1273"/>
      <c r="AX68" s="1273"/>
      <c r="AY68" s="1272"/>
      <c r="AZ68" s="1272"/>
      <c r="BA68" s="1272"/>
      <c r="BB68" s="1272"/>
      <c r="BC68" s="1272"/>
      <c r="BD68" s="1274"/>
      <c r="BE68" s="1274"/>
      <c r="BF68" s="1274"/>
      <c r="BG68" s="1274"/>
      <c r="BH68" s="1274"/>
      <c r="BI68" s="1274"/>
      <c r="BJ68" s="1274"/>
      <c r="BK68" s="1274"/>
      <c r="BL68" s="1274"/>
      <c r="BM68" s="1274"/>
      <c r="BN68" s="1274"/>
      <c r="BO68" s="1274"/>
      <c r="BP68" s="1274"/>
      <c r="BQ68" s="1274"/>
      <c r="BR68" s="1274"/>
      <c r="BS68" s="1274"/>
      <c r="BT68" s="1274"/>
      <c r="BU68" s="1274"/>
      <c r="BV68" s="1274"/>
      <c r="BW68" s="1274"/>
      <c r="BX68" s="1274"/>
      <c r="BY68" s="1706"/>
      <c r="BZ68" s="1706"/>
      <c r="CA68" s="1706"/>
      <c r="CB68" s="1706"/>
      <c r="CC68" s="1706"/>
      <c r="CD68" s="1706"/>
      <c r="CE68" s="1706"/>
      <c r="CF68" s="1706"/>
      <c r="CG68" s="1706"/>
      <c r="CH68" s="1706"/>
      <c r="CI68" s="1706"/>
      <c r="CJ68" s="1706"/>
    </row>
    <row r="69" spans="1:88" s="249" customFormat="1" ht="45.95" customHeight="1">
      <c r="A69" s="1257" t="s">
        <v>471</v>
      </c>
      <c r="B69" s="1285" t="s">
        <v>784</v>
      </c>
      <c r="C69" s="1257">
        <v>69</v>
      </c>
      <c r="D69" s="1724">
        <f t="shared" si="48"/>
        <v>2.8383381324557796E-2</v>
      </c>
      <c r="E69" s="1258"/>
      <c r="F69" s="1258"/>
      <c r="G69" s="1258"/>
      <c r="H69" s="1258"/>
      <c r="I69" s="1258"/>
      <c r="J69" s="1258"/>
      <c r="K69" s="1258"/>
      <c r="L69" s="1258"/>
      <c r="M69" s="1258"/>
      <c r="N69" s="1259">
        <v>75</v>
      </c>
      <c r="O69" s="1259">
        <v>100</v>
      </c>
      <c r="P69" s="1258"/>
      <c r="Q69" s="1258"/>
      <c r="R69" s="1258"/>
      <c r="S69" s="1258"/>
      <c r="T69" s="1258"/>
      <c r="U69" s="1258"/>
      <c r="V69" s="1258"/>
      <c r="W69" s="1258"/>
      <c r="X69" s="1258"/>
      <c r="Y69" s="1258"/>
      <c r="Z69" s="1258"/>
      <c r="AA69" s="1258"/>
      <c r="AB69" s="1258"/>
      <c r="AC69" s="1258"/>
      <c r="AD69" s="1258"/>
      <c r="AE69" s="1258"/>
      <c r="AF69" s="1258"/>
      <c r="AG69" s="1258"/>
      <c r="AH69" s="1258"/>
      <c r="AI69" s="1258"/>
      <c r="AJ69" s="1272"/>
      <c r="AK69" s="1272"/>
      <c r="AL69" s="1272"/>
      <c r="AM69" s="1272"/>
      <c r="AN69" s="1272"/>
      <c r="AO69" s="1272"/>
      <c r="AP69" s="1272"/>
      <c r="AQ69" s="1272"/>
      <c r="AR69" s="1273"/>
      <c r="AS69" s="1273"/>
      <c r="AT69" s="1273"/>
      <c r="AU69" s="1273"/>
      <c r="AV69" s="1273"/>
      <c r="AW69" s="1273"/>
      <c r="AX69" s="1273"/>
      <c r="AY69" s="1272"/>
      <c r="AZ69" s="1272"/>
      <c r="BA69" s="1272"/>
      <c r="BB69" s="1272"/>
      <c r="BC69" s="1272"/>
      <c r="BD69" s="1274"/>
      <c r="BE69" s="1274"/>
      <c r="BF69" s="1274"/>
      <c r="BG69" s="1274"/>
      <c r="BH69" s="1274"/>
      <c r="BI69" s="1274"/>
      <c r="BJ69" s="1274"/>
      <c r="BK69" s="1274"/>
      <c r="BL69" s="1274"/>
      <c r="BM69" s="1274"/>
      <c r="BN69" s="1274"/>
      <c r="BO69" s="1274"/>
      <c r="BP69" s="1274"/>
      <c r="BQ69" s="1274"/>
      <c r="BR69" s="1274"/>
      <c r="BS69" s="1274"/>
      <c r="BT69" s="1274"/>
      <c r="BU69" s="1274"/>
      <c r="BV69" s="1274"/>
      <c r="BW69" s="1274"/>
      <c r="BX69" s="1274"/>
      <c r="BY69" s="1706">
        <v>100</v>
      </c>
      <c r="BZ69" s="1706">
        <v>100</v>
      </c>
      <c r="CA69" s="1706">
        <v>100</v>
      </c>
      <c r="CB69" s="1706">
        <v>100</v>
      </c>
      <c r="CC69" s="1706">
        <v>100</v>
      </c>
      <c r="CD69" s="1706">
        <v>100</v>
      </c>
      <c r="CE69" s="1706">
        <v>100</v>
      </c>
      <c r="CF69" s="1706">
        <v>100</v>
      </c>
      <c r="CG69" s="1706">
        <v>100</v>
      </c>
      <c r="CH69" s="1706">
        <v>100</v>
      </c>
      <c r="CI69" s="1706">
        <v>100</v>
      </c>
      <c r="CJ69" s="1706">
        <v>100</v>
      </c>
    </row>
    <row r="70" spans="1:88" s="249" customFormat="1" ht="45.95" customHeight="1">
      <c r="A70" s="1257" t="s">
        <v>472</v>
      </c>
      <c r="B70" s="1285" t="s">
        <v>719</v>
      </c>
      <c r="C70" s="1257">
        <v>157</v>
      </c>
      <c r="D70" s="1724">
        <f t="shared" si="48"/>
        <v>6.4582476347182227E-2</v>
      </c>
      <c r="E70" s="1258"/>
      <c r="F70" s="1258"/>
      <c r="G70" s="1258"/>
      <c r="H70" s="1258"/>
      <c r="I70" s="1258"/>
      <c r="J70" s="1258"/>
      <c r="K70" s="1258"/>
      <c r="L70" s="1258"/>
      <c r="M70" s="1258"/>
      <c r="N70" s="1258"/>
      <c r="O70" s="1259">
        <v>75</v>
      </c>
      <c r="P70" s="1259">
        <v>100</v>
      </c>
      <c r="Q70" s="1287"/>
      <c r="R70" s="1287"/>
      <c r="S70" s="1287"/>
      <c r="T70" s="1287"/>
      <c r="U70" s="1759"/>
      <c r="V70" s="1258"/>
      <c r="W70" s="1258"/>
      <c r="X70" s="1258"/>
      <c r="Y70" s="1258"/>
      <c r="Z70" s="1258"/>
      <c r="AA70" s="1258"/>
      <c r="AB70" s="1258"/>
      <c r="AC70" s="1258"/>
      <c r="AD70" s="1258"/>
      <c r="AE70" s="1258"/>
      <c r="AF70" s="1258"/>
      <c r="AG70" s="1258"/>
      <c r="AH70" s="1258"/>
      <c r="AI70" s="1258"/>
      <c r="AJ70" s="1272"/>
      <c r="AK70" s="1272"/>
      <c r="AL70" s="1272"/>
      <c r="AM70" s="1272"/>
      <c r="AN70" s="1272"/>
      <c r="AO70" s="1272"/>
      <c r="AP70" s="1272"/>
      <c r="AQ70" s="1272"/>
      <c r="AR70" s="1273"/>
      <c r="AS70" s="1273"/>
      <c r="AT70" s="1273"/>
      <c r="AU70" s="1273"/>
      <c r="AV70" s="1273"/>
      <c r="AW70" s="1273"/>
      <c r="AX70" s="1273"/>
      <c r="AY70" s="1272"/>
      <c r="AZ70" s="1272"/>
      <c r="BA70" s="1272"/>
      <c r="BB70" s="1272"/>
      <c r="BC70" s="1272"/>
      <c r="BD70" s="1274"/>
      <c r="BE70" s="1274"/>
      <c r="BF70" s="1274"/>
      <c r="BG70" s="1274"/>
      <c r="BH70" s="1274"/>
      <c r="BI70" s="1274"/>
      <c r="BJ70" s="1274"/>
      <c r="BK70" s="1274"/>
      <c r="BL70" s="1274"/>
      <c r="BM70" s="1274"/>
      <c r="BN70" s="1274"/>
      <c r="BO70" s="1274"/>
      <c r="BP70" s="1274"/>
      <c r="BQ70" s="1274"/>
      <c r="BR70" s="1274"/>
      <c r="BS70" s="1274"/>
      <c r="BT70" s="1274"/>
      <c r="BU70" s="1274"/>
      <c r="BV70" s="1274"/>
      <c r="BW70" s="1274"/>
      <c r="BX70" s="1274"/>
      <c r="BY70" s="1706">
        <v>100</v>
      </c>
      <c r="BZ70" s="1706">
        <v>100</v>
      </c>
      <c r="CA70" s="1706">
        <v>100</v>
      </c>
      <c r="CB70" s="1706">
        <v>100</v>
      </c>
      <c r="CC70" s="1706">
        <v>100</v>
      </c>
      <c r="CD70" s="1706">
        <v>100</v>
      </c>
      <c r="CE70" s="1706">
        <v>100</v>
      </c>
      <c r="CF70" s="1706">
        <v>100</v>
      </c>
      <c r="CG70" s="1706">
        <v>100</v>
      </c>
      <c r="CH70" s="1706">
        <v>100</v>
      </c>
      <c r="CI70" s="1706">
        <v>100</v>
      </c>
      <c r="CJ70" s="1706">
        <v>100</v>
      </c>
    </row>
    <row r="71" spans="1:88" s="249" customFormat="1" ht="45.95" customHeight="1">
      <c r="A71" s="1257" t="s">
        <v>473</v>
      </c>
      <c r="B71" s="1285" t="s">
        <v>1223</v>
      </c>
      <c r="C71" s="1257">
        <v>64</v>
      </c>
      <c r="D71" s="1724">
        <f t="shared" si="48"/>
        <v>2.6326614561908681E-2</v>
      </c>
      <c r="E71" s="1258"/>
      <c r="F71" s="1258"/>
      <c r="G71" s="1258"/>
      <c r="H71" s="1258"/>
      <c r="I71" s="1258"/>
      <c r="J71" s="1258"/>
      <c r="K71" s="1258"/>
      <c r="L71" s="1258"/>
      <c r="M71" s="1258"/>
      <c r="N71" s="1258"/>
      <c r="O71" s="1259">
        <v>75</v>
      </c>
      <c r="P71" s="1259">
        <v>100</v>
      </c>
      <c r="Q71" s="1287"/>
      <c r="R71" s="1287"/>
      <c r="S71" s="1287"/>
      <c r="T71" s="1287"/>
      <c r="U71" s="1759"/>
      <c r="V71" s="1258"/>
      <c r="W71" s="1258"/>
      <c r="X71" s="1258"/>
      <c r="Y71" s="1258"/>
      <c r="Z71" s="1258"/>
      <c r="AA71" s="1258"/>
      <c r="AB71" s="1258"/>
      <c r="AC71" s="1258"/>
      <c r="AD71" s="1258"/>
      <c r="AE71" s="1258"/>
      <c r="AF71" s="1258"/>
      <c r="AG71" s="1258"/>
      <c r="AH71" s="1258"/>
      <c r="AI71" s="1258"/>
      <c r="AJ71" s="1272"/>
      <c r="AK71" s="1272"/>
      <c r="AL71" s="1272"/>
      <c r="AM71" s="1272"/>
      <c r="AN71" s="1272"/>
      <c r="AO71" s="1272"/>
      <c r="AP71" s="1272"/>
      <c r="AQ71" s="1272"/>
      <c r="AR71" s="1273"/>
      <c r="AS71" s="1273"/>
      <c r="AT71" s="1273"/>
      <c r="AU71" s="1273"/>
      <c r="AV71" s="1273"/>
      <c r="AW71" s="1273"/>
      <c r="AX71" s="1273"/>
      <c r="AY71" s="1272"/>
      <c r="AZ71" s="1272"/>
      <c r="BA71" s="1272"/>
      <c r="BB71" s="1272"/>
      <c r="BC71" s="1272"/>
      <c r="BD71" s="1274"/>
      <c r="BE71" s="1274"/>
      <c r="BF71" s="1274"/>
      <c r="BG71" s="1274"/>
      <c r="BH71" s="1274"/>
      <c r="BI71" s="1274"/>
      <c r="BJ71" s="1274"/>
      <c r="BK71" s="1274"/>
      <c r="BL71" s="1274"/>
      <c r="BM71" s="1274"/>
      <c r="BN71" s="1274"/>
      <c r="BO71" s="1274"/>
      <c r="BP71" s="1274"/>
      <c r="BQ71" s="1274"/>
      <c r="BR71" s="1274"/>
      <c r="BS71" s="1274"/>
      <c r="BT71" s="1274"/>
      <c r="BU71" s="1274"/>
      <c r="BV71" s="1274"/>
      <c r="BW71" s="1274"/>
      <c r="BX71" s="1274"/>
      <c r="BY71" s="1706">
        <v>100</v>
      </c>
      <c r="BZ71" s="1706">
        <v>100</v>
      </c>
      <c r="CA71" s="1706">
        <v>100</v>
      </c>
      <c r="CB71" s="1706">
        <v>100</v>
      </c>
      <c r="CC71" s="1706">
        <v>100</v>
      </c>
      <c r="CD71" s="1706">
        <v>100</v>
      </c>
      <c r="CE71" s="1706">
        <v>100</v>
      </c>
      <c r="CF71" s="1706">
        <v>100</v>
      </c>
      <c r="CG71" s="1706">
        <v>100</v>
      </c>
      <c r="CH71" s="1706">
        <v>100</v>
      </c>
      <c r="CI71" s="1706">
        <v>100</v>
      </c>
      <c r="CJ71" s="1706">
        <v>100</v>
      </c>
    </row>
    <row r="72" spans="1:88" s="249" customFormat="1" ht="45.95" customHeight="1">
      <c r="A72" s="1257" t="s">
        <v>525</v>
      </c>
      <c r="B72" s="1285" t="s">
        <v>785</v>
      </c>
      <c r="C72" s="1257">
        <v>138</v>
      </c>
      <c r="D72" s="1724">
        <f t="shared" si="48"/>
        <v>5.6766762649115593E-2</v>
      </c>
      <c r="E72" s="1258"/>
      <c r="F72" s="1258"/>
      <c r="G72" s="1258"/>
      <c r="H72" s="1258"/>
      <c r="I72" s="1258"/>
      <c r="J72" s="1258"/>
      <c r="K72" s="1258"/>
      <c r="L72" s="1258"/>
      <c r="M72" s="1258"/>
      <c r="N72" s="1258"/>
      <c r="O72" s="1258"/>
      <c r="P72" s="1259">
        <v>75</v>
      </c>
      <c r="Q72" s="1259">
        <v>100</v>
      </c>
      <c r="R72" s="1258"/>
      <c r="S72" s="1759"/>
      <c r="T72" s="1759"/>
      <c r="U72" s="1759"/>
      <c r="V72" s="1258"/>
      <c r="W72" s="1258"/>
      <c r="X72" s="1258"/>
      <c r="Y72" s="1258"/>
      <c r="Z72" s="1258"/>
      <c r="AA72" s="1258"/>
      <c r="AB72" s="1258"/>
      <c r="AC72" s="1258"/>
      <c r="AD72" s="1258"/>
      <c r="AE72" s="1258"/>
      <c r="AF72" s="1258"/>
      <c r="AG72" s="1258"/>
      <c r="AH72" s="1258"/>
      <c r="AI72" s="1258"/>
      <c r="AJ72" s="1272"/>
      <c r="AK72" s="1273"/>
      <c r="AL72" s="1273"/>
      <c r="AM72" s="1273"/>
      <c r="AN72" s="1273"/>
      <c r="AO72" s="1272"/>
      <c r="AP72" s="1272"/>
      <c r="AQ72" s="1272"/>
      <c r="AR72" s="1273"/>
      <c r="AS72" s="1273"/>
      <c r="AT72" s="1273"/>
      <c r="AU72" s="1273"/>
      <c r="AV72" s="1273"/>
      <c r="AW72" s="1273"/>
      <c r="AX72" s="1273"/>
      <c r="AY72" s="1272"/>
      <c r="AZ72" s="1272"/>
      <c r="BA72" s="1272"/>
      <c r="BB72" s="1272"/>
      <c r="BC72" s="1272"/>
      <c r="BD72" s="1274"/>
      <c r="BE72" s="1274"/>
      <c r="BF72" s="1274"/>
      <c r="BG72" s="1274"/>
      <c r="BH72" s="1274"/>
      <c r="BI72" s="1274"/>
      <c r="BJ72" s="1274"/>
      <c r="BK72" s="1274"/>
      <c r="BL72" s="1274"/>
      <c r="BM72" s="1274"/>
      <c r="BN72" s="1274"/>
      <c r="BO72" s="1274"/>
      <c r="BP72" s="1274"/>
      <c r="BQ72" s="1274"/>
      <c r="BR72" s="1274"/>
      <c r="BS72" s="1274"/>
      <c r="BT72" s="1274"/>
      <c r="BU72" s="1274"/>
      <c r="BV72" s="1274"/>
      <c r="BW72" s="1274"/>
      <c r="BX72" s="1274"/>
      <c r="BY72" s="1706">
        <v>100</v>
      </c>
      <c r="BZ72" s="1706">
        <v>100</v>
      </c>
      <c r="CA72" s="1706">
        <v>100</v>
      </c>
      <c r="CB72" s="1706">
        <v>100</v>
      </c>
      <c r="CC72" s="1706">
        <v>100</v>
      </c>
      <c r="CD72" s="1706">
        <v>100</v>
      </c>
      <c r="CE72" s="1706">
        <v>100</v>
      </c>
      <c r="CF72" s="1706">
        <v>100</v>
      </c>
      <c r="CG72" s="1706">
        <v>100</v>
      </c>
      <c r="CH72" s="1706">
        <v>100</v>
      </c>
      <c r="CI72" s="1706">
        <v>100</v>
      </c>
      <c r="CJ72" s="1706">
        <v>100</v>
      </c>
    </row>
    <row r="73" spans="1:88" s="249" customFormat="1" ht="40.5">
      <c r="A73" s="1257" t="s">
        <v>474</v>
      </c>
      <c r="B73" s="1285" t="s">
        <v>786</v>
      </c>
      <c r="C73" s="1257">
        <v>98</v>
      </c>
      <c r="D73" s="1724">
        <f t="shared" si="48"/>
        <v>4.0312628547922669E-2</v>
      </c>
      <c r="E73" s="1258"/>
      <c r="F73" s="1258"/>
      <c r="G73" s="1258"/>
      <c r="H73" s="1258"/>
      <c r="I73" s="1258"/>
      <c r="J73" s="1258"/>
      <c r="K73" s="1258"/>
      <c r="L73" s="1258"/>
      <c r="M73" s="1258"/>
      <c r="N73" s="1258"/>
      <c r="O73" s="1258"/>
      <c r="P73" s="1259">
        <v>75</v>
      </c>
      <c r="Q73" s="1259">
        <v>100</v>
      </c>
      <c r="R73" s="1258"/>
      <c r="S73" s="1759"/>
      <c r="T73" s="1759"/>
      <c r="U73" s="1759"/>
      <c r="V73" s="1258"/>
      <c r="W73" s="1258"/>
      <c r="X73" s="1258"/>
      <c r="Y73" s="1258"/>
      <c r="Z73" s="1258"/>
      <c r="AA73" s="1258"/>
      <c r="AB73" s="1258"/>
      <c r="AC73" s="1258"/>
      <c r="AD73" s="1258"/>
      <c r="AE73" s="1258"/>
      <c r="AF73" s="1258"/>
      <c r="AG73" s="1258"/>
      <c r="AH73" s="1258"/>
      <c r="AI73" s="1258"/>
      <c r="AJ73" s="1272"/>
      <c r="AK73" s="1273"/>
      <c r="AL73" s="1273"/>
      <c r="AM73" s="1273"/>
      <c r="AN73" s="1273"/>
      <c r="AO73" s="1272"/>
      <c r="AP73" s="1272"/>
      <c r="AQ73" s="1272"/>
      <c r="AR73" s="1273"/>
      <c r="AS73" s="1273"/>
      <c r="AT73" s="1273"/>
      <c r="AU73" s="1273"/>
      <c r="AV73" s="1273"/>
      <c r="AW73" s="1273"/>
      <c r="AX73" s="1273"/>
      <c r="AY73" s="1272"/>
      <c r="AZ73" s="1272"/>
      <c r="BA73" s="1272"/>
      <c r="BB73" s="1272"/>
      <c r="BC73" s="1272"/>
      <c r="BD73" s="1274"/>
      <c r="BE73" s="1274"/>
      <c r="BF73" s="1274"/>
      <c r="BG73" s="1274"/>
      <c r="BH73" s="1274"/>
      <c r="BI73" s="1274"/>
      <c r="BJ73" s="1274"/>
      <c r="BK73" s="1274"/>
      <c r="BL73" s="1274"/>
      <c r="BM73" s="1274"/>
      <c r="BN73" s="1274"/>
      <c r="BO73" s="1274"/>
      <c r="BP73" s="1274"/>
      <c r="BQ73" s="1274"/>
      <c r="BR73" s="1274"/>
      <c r="BS73" s="1274"/>
      <c r="BT73" s="1274"/>
      <c r="BU73" s="1274"/>
      <c r="BV73" s="1274"/>
      <c r="BW73" s="1274"/>
      <c r="BX73" s="1274"/>
      <c r="BY73" s="1706">
        <v>100</v>
      </c>
      <c r="BZ73" s="1706">
        <v>100</v>
      </c>
      <c r="CA73" s="1706">
        <v>100</v>
      </c>
      <c r="CB73" s="1706">
        <v>100</v>
      </c>
      <c r="CC73" s="1706">
        <v>100</v>
      </c>
      <c r="CD73" s="1706">
        <v>100</v>
      </c>
      <c r="CE73" s="1706">
        <v>100</v>
      </c>
      <c r="CF73" s="1706">
        <v>100</v>
      </c>
      <c r="CG73" s="1706">
        <v>100</v>
      </c>
      <c r="CH73" s="1706">
        <v>100</v>
      </c>
      <c r="CI73" s="1706">
        <v>100</v>
      </c>
      <c r="CJ73" s="1706">
        <v>100</v>
      </c>
    </row>
    <row r="74" spans="1:88" s="249" customFormat="1" ht="45.95" customHeight="1">
      <c r="A74" s="1257" t="s">
        <v>475</v>
      </c>
      <c r="B74" s="1285" t="s">
        <v>787</v>
      </c>
      <c r="C74" s="1257">
        <v>81</v>
      </c>
      <c r="D74" s="1724">
        <f t="shared" si="48"/>
        <v>3.331962155491567E-2</v>
      </c>
      <c r="E74" s="1258"/>
      <c r="F74" s="1258"/>
      <c r="G74" s="1258"/>
      <c r="H74" s="1258"/>
      <c r="I74" s="1258"/>
      <c r="J74" s="1258"/>
      <c r="K74" s="1258"/>
      <c r="L74" s="1258"/>
      <c r="M74" s="1258"/>
      <c r="N74" s="1258"/>
      <c r="O74" s="1258"/>
      <c r="P74" s="1258"/>
      <c r="Q74" s="1259">
        <v>75</v>
      </c>
      <c r="R74" s="1259">
        <v>100</v>
      </c>
      <c r="S74" s="1287"/>
      <c r="T74" s="1287"/>
      <c r="U74" s="1287"/>
      <c r="V74" s="1258"/>
      <c r="W74" s="1258"/>
      <c r="X74" s="1258"/>
      <c r="Y74" s="1258"/>
      <c r="Z74" s="1258"/>
      <c r="AA74" s="1258"/>
      <c r="AB74" s="1258"/>
      <c r="AC74" s="1258"/>
      <c r="AD74" s="1258"/>
      <c r="AE74" s="1258"/>
      <c r="AF74" s="1258"/>
      <c r="AG74" s="1258"/>
      <c r="AH74" s="1258"/>
      <c r="AI74" s="1258"/>
      <c r="AJ74" s="1272"/>
      <c r="AK74" s="1273"/>
      <c r="AL74" s="1273"/>
      <c r="AM74" s="1273"/>
      <c r="AN74" s="1273"/>
      <c r="AO74" s="1272"/>
      <c r="AP74" s="1272"/>
      <c r="AQ74" s="1272"/>
      <c r="AR74" s="1273"/>
      <c r="AS74" s="1273"/>
      <c r="AT74" s="1273"/>
      <c r="AU74" s="1273"/>
      <c r="AV74" s="1273"/>
      <c r="AW74" s="1273"/>
      <c r="AX74" s="1273"/>
      <c r="AY74" s="1272"/>
      <c r="AZ74" s="1272"/>
      <c r="BA74" s="1272"/>
      <c r="BB74" s="1272"/>
      <c r="BC74" s="1272"/>
      <c r="BD74" s="1274"/>
      <c r="BE74" s="1274"/>
      <c r="BF74" s="1274"/>
      <c r="BG74" s="1274"/>
      <c r="BH74" s="1274"/>
      <c r="BI74" s="1274"/>
      <c r="BJ74" s="1274"/>
      <c r="BK74" s="1274"/>
      <c r="BL74" s="1274"/>
      <c r="BM74" s="1274"/>
      <c r="BN74" s="1274"/>
      <c r="BO74" s="1274"/>
      <c r="BP74" s="1274"/>
      <c r="BQ74" s="1274"/>
      <c r="BR74" s="1274"/>
      <c r="BS74" s="1274"/>
      <c r="BT74" s="1274"/>
      <c r="BU74" s="1274"/>
      <c r="BV74" s="1274"/>
      <c r="BW74" s="1274"/>
      <c r="BX74" s="1274"/>
      <c r="BY74" s="1706">
        <v>100</v>
      </c>
      <c r="BZ74" s="1706">
        <v>100</v>
      </c>
      <c r="CA74" s="1706">
        <v>100</v>
      </c>
      <c r="CB74" s="1706">
        <v>100</v>
      </c>
      <c r="CC74" s="1706">
        <v>100</v>
      </c>
      <c r="CD74" s="1706">
        <v>100</v>
      </c>
      <c r="CE74" s="1706">
        <v>100</v>
      </c>
      <c r="CF74" s="1706">
        <v>100</v>
      </c>
      <c r="CG74" s="1706">
        <v>100</v>
      </c>
      <c r="CH74" s="1706">
        <v>100</v>
      </c>
      <c r="CI74" s="1706">
        <v>100</v>
      </c>
      <c r="CJ74" s="1706">
        <v>100</v>
      </c>
    </row>
    <row r="75" spans="1:88" s="249" customFormat="1" ht="45.95" customHeight="1">
      <c r="A75" s="1257" t="s">
        <v>476</v>
      </c>
      <c r="B75" s="1285" t="s">
        <v>1224</v>
      </c>
      <c r="C75" s="1257">
        <v>56</v>
      </c>
      <c r="D75" s="1724">
        <f t="shared" si="48"/>
        <v>2.3035787741670095E-2</v>
      </c>
      <c r="E75" s="1258"/>
      <c r="F75" s="1258"/>
      <c r="G75" s="1258"/>
      <c r="H75" s="1258"/>
      <c r="I75" s="1258"/>
      <c r="J75" s="1258"/>
      <c r="K75" s="1258"/>
      <c r="L75" s="1258"/>
      <c r="M75" s="1258"/>
      <c r="N75" s="1258"/>
      <c r="O75" s="1258"/>
      <c r="P75" s="1258"/>
      <c r="Q75" s="1259">
        <v>75</v>
      </c>
      <c r="R75" s="1259">
        <v>100</v>
      </c>
      <c r="S75" s="1287"/>
      <c r="T75" s="1287"/>
      <c r="U75" s="1287"/>
      <c r="V75" s="1258"/>
      <c r="W75" s="1258"/>
      <c r="X75" s="1258"/>
      <c r="Y75" s="1258"/>
      <c r="Z75" s="1258"/>
      <c r="AA75" s="1258"/>
      <c r="AB75" s="1258"/>
      <c r="AC75" s="1258"/>
      <c r="AD75" s="1258"/>
      <c r="AE75" s="1258"/>
      <c r="AF75" s="1258"/>
      <c r="AG75" s="1258"/>
      <c r="AH75" s="1258"/>
      <c r="AI75" s="1258"/>
      <c r="AJ75" s="1272"/>
      <c r="AK75" s="1273"/>
      <c r="AL75" s="1273"/>
      <c r="AM75" s="1273"/>
      <c r="AN75" s="1273"/>
      <c r="AO75" s="1272"/>
      <c r="AP75" s="1272"/>
      <c r="AQ75" s="1272"/>
      <c r="AR75" s="1273"/>
      <c r="AS75" s="1273"/>
      <c r="AT75" s="1273"/>
      <c r="AU75" s="1273"/>
      <c r="AV75" s="1273"/>
      <c r="AW75" s="1273"/>
      <c r="AX75" s="1273"/>
      <c r="AY75" s="1272"/>
      <c r="AZ75" s="1272"/>
      <c r="BA75" s="1272"/>
      <c r="BB75" s="1272"/>
      <c r="BC75" s="1272"/>
      <c r="BD75" s="1274"/>
      <c r="BE75" s="1274"/>
      <c r="BF75" s="1274"/>
      <c r="BG75" s="1274"/>
      <c r="BH75" s="1274"/>
      <c r="BI75" s="1274"/>
      <c r="BJ75" s="1274"/>
      <c r="BK75" s="1274"/>
      <c r="BL75" s="1274"/>
      <c r="BM75" s="1274"/>
      <c r="BN75" s="1274"/>
      <c r="BO75" s="1274"/>
      <c r="BP75" s="1274"/>
      <c r="BQ75" s="1274"/>
      <c r="BR75" s="1274"/>
      <c r="BS75" s="1274"/>
      <c r="BT75" s="1274"/>
      <c r="BU75" s="1274"/>
      <c r="BV75" s="1274"/>
      <c r="BW75" s="1274"/>
      <c r="BX75" s="1274"/>
      <c r="BY75" s="1706">
        <v>100</v>
      </c>
      <c r="BZ75" s="1706">
        <v>100</v>
      </c>
      <c r="CA75" s="1706">
        <v>100</v>
      </c>
      <c r="CB75" s="1706">
        <v>100</v>
      </c>
      <c r="CC75" s="1706">
        <v>100</v>
      </c>
      <c r="CD75" s="1706">
        <v>100</v>
      </c>
      <c r="CE75" s="1706">
        <v>100</v>
      </c>
      <c r="CF75" s="1706">
        <v>100</v>
      </c>
      <c r="CG75" s="1706">
        <v>100</v>
      </c>
      <c r="CH75" s="1706">
        <v>100</v>
      </c>
      <c r="CI75" s="1706">
        <v>100</v>
      </c>
      <c r="CJ75" s="1706">
        <v>100</v>
      </c>
    </row>
    <row r="76" spans="1:88" s="249" customFormat="1" ht="45.95" customHeight="1">
      <c r="A76" s="1257" t="s">
        <v>477</v>
      </c>
      <c r="B76" s="1285" t="s">
        <v>777</v>
      </c>
      <c r="C76" s="1257">
        <v>66</v>
      </c>
      <c r="D76" s="1724">
        <f t="shared" si="48"/>
        <v>2.7149321266968326E-2</v>
      </c>
      <c r="E76" s="1258"/>
      <c r="F76" s="1258"/>
      <c r="G76" s="1258"/>
      <c r="H76" s="1258"/>
      <c r="I76" s="1258"/>
      <c r="J76" s="1258"/>
      <c r="K76" s="1258"/>
      <c r="L76" s="1258"/>
      <c r="M76" s="1258"/>
      <c r="N76" s="1258"/>
      <c r="O76" s="1258"/>
      <c r="P76" s="1258"/>
      <c r="Q76" s="1259">
        <v>75</v>
      </c>
      <c r="R76" s="1259">
        <v>100</v>
      </c>
      <c r="S76" s="1287"/>
      <c r="T76" s="1287"/>
      <c r="U76" s="1287"/>
      <c r="V76" s="1287"/>
      <c r="W76" s="1258"/>
      <c r="X76" s="1258"/>
      <c r="Y76" s="1258"/>
      <c r="Z76" s="1258"/>
      <c r="AA76" s="1258"/>
      <c r="AB76" s="1258"/>
      <c r="AC76" s="1258"/>
      <c r="AD76" s="1258"/>
      <c r="AE76" s="1258"/>
      <c r="AF76" s="1258"/>
      <c r="AG76" s="1258"/>
      <c r="AH76" s="1258"/>
      <c r="AI76" s="1258"/>
      <c r="AJ76" s="1272"/>
      <c r="AK76" s="1273"/>
      <c r="AL76" s="1273"/>
      <c r="AM76" s="1273"/>
      <c r="AN76" s="1273"/>
      <c r="AO76" s="1272"/>
      <c r="AP76" s="1272"/>
      <c r="AQ76" s="1272"/>
      <c r="AR76" s="1273"/>
      <c r="AS76" s="1273"/>
      <c r="AT76" s="1273"/>
      <c r="AU76" s="1273"/>
      <c r="AV76" s="1273"/>
      <c r="AW76" s="1273"/>
      <c r="AX76" s="1273"/>
      <c r="AY76" s="1272"/>
      <c r="AZ76" s="1272"/>
      <c r="BA76" s="1272"/>
      <c r="BB76" s="1272"/>
      <c r="BC76" s="1272"/>
      <c r="BD76" s="1274"/>
      <c r="BE76" s="1274"/>
      <c r="BF76" s="1274"/>
      <c r="BG76" s="1274"/>
      <c r="BH76" s="1274"/>
      <c r="BI76" s="1274"/>
      <c r="BJ76" s="1274"/>
      <c r="BK76" s="1274"/>
      <c r="BL76" s="1274"/>
      <c r="BM76" s="1274"/>
      <c r="BN76" s="1274"/>
      <c r="BO76" s="1274"/>
      <c r="BP76" s="1274"/>
      <c r="BQ76" s="1274"/>
      <c r="BR76" s="1274"/>
      <c r="BS76" s="1274"/>
      <c r="BT76" s="1274"/>
      <c r="BU76" s="1274"/>
      <c r="BV76" s="1274"/>
      <c r="BW76" s="1274"/>
      <c r="BX76" s="1274"/>
      <c r="BY76" s="1706"/>
      <c r="BZ76" s="1706"/>
      <c r="CA76" s="1706"/>
      <c r="CB76" s="1706"/>
      <c r="CC76" s="1706"/>
      <c r="CD76" s="1706"/>
      <c r="CE76" s="1706"/>
      <c r="CF76" s="1706"/>
      <c r="CG76" s="1706"/>
      <c r="CH76" s="1706"/>
      <c r="CI76" s="1706"/>
      <c r="CJ76" s="1706"/>
    </row>
    <row r="77" spans="1:88" s="249" customFormat="1" ht="45.95" customHeight="1">
      <c r="A77" s="1257" t="s">
        <v>478</v>
      </c>
      <c r="B77" s="1285" t="s">
        <v>778</v>
      </c>
      <c r="C77" s="1257">
        <v>63</v>
      </c>
      <c r="D77" s="1724">
        <f t="shared" si="48"/>
        <v>2.5915261209378856E-2</v>
      </c>
      <c r="E77" s="1258"/>
      <c r="F77" s="1258"/>
      <c r="G77" s="1258"/>
      <c r="H77" s="1258"/>
      <c r="I77" s="1258"/>
      <c r="J77" s="1258"/>
      <c r="K77" s="1258"/>
      <c r="L77" s="1258"/>
      <c r="M77" s="1258"/>
      <c r="N77" s="1258"/>
      <c r="O77" s="1258"/>
      <c r="P77" s="1258"/>
      <c r="Q77" s="1259">
        <v>75</v>
      </c>
      <c r="R77" s="1259">
        <v>100</v>
      </c>
      <c r="S77" s="1287"/>
      <c r="T77" s="1287"/>
      <c r="U77" s="1287"/>
      <c r="V77" s="1287"/>
      <c r="W77" s="1258"/>
      <c r="X77" s="1258"/>
      <c r="Y77" s="1258"/>
      <c r="Z77" s="1258"/>
      <c r="AA77" s="1258"/>
      <c r="AB77" s="1258"/>
      <c r="AC77" s="1258"/>
      <c r="AD77" s="1258"/>
      <c r="AE77" s="1258"/>
      <c r="AF77" s="1258"/>
      <c r="AG77" s="1258"/>
      <c r="AH77" s="1258"/>
      <c r="AI77" s="1258"/>
      <c r="AJ77" s="1272"/>
      <c r="AK77" s="1273"/>
      <c r="AL77" s="1273"/>
      <c r="AM77" s="1273"/>
      <c r="AN77" s="1273"/>
      <c r="AO77" s="1272"/>
      <c r="AP77" s="1272"/>
      <c r="AQ77" s="1272"/>
      <c r="AR77" s="1273"/>
      <c r="AS77" s="1273"/>
      <c r="AT77" s="1273"/>
      <c r="AU77" s="1273"/>
      <c r="AV77" s="1273"/>
      <c r="AW77" s="1273"/>
      <c r="AX77" s="1273"/>
      <c r="AY77" s="1272"/>
      <c r="AZ77" s="1272"/>
      <c r="BA77" s="1272"/>
      <c r="BB77" s="1272"/>
      <c r="BC77" s="1272"/>
      <c r="BD77" s="1274"/>
      <c r="BE77" s="1274"/>
      <c r="BF77" s="1274"/>
      <c r="BG77" s="1274"/>
      <c r="BH77" s="1274"/>
      <c r="BI77" s="1274"/>
      <c r="BJ77" s="1274"/>
      <c r="BK77" s="1274"/>
      <c r="BL77" s="1274"/>
      <c r="BM77" s="1274"/>
      <c r="BN77" s="1274"/>
      <c r="BO77" s="1274"/>
      <c r="BP77" s="1274"/>
      <c r="BQ77" s="1274"/>
      <c r="BR77" s="1274"/>
      <c r="BS77" s="1274"/>
      <c r="BT77" s="1274"/>
      <c r="BU77" s="1274"/>
      <c r="BV77" s="1274"/>
      <c r="BW77" s="1274"/>
      <c r="BX77" s="1274"/>
      <c r="BY77" s="1706">
        <v>100</v>
      </c>
      <c r="BZ77" s="1706">
        <v>100</v>
      </c>
      <c r="CA77" s="1706">
        <v>100</v>
      </c>
      <c r="CB77" s="1706">
        <v>100</v>
      </c>
      <c r="CC77" s="1706">
        <v>100</v>
      </c>
      <c r="CD77" s="1706">
        <v>100</v>
      </c>
      <c r="CE77" s="1706">
        <v>100</v>
      </c>
      <c r="CF77" s="1706">
        <v>100</v>
      </c>
      <c r="CG77" s="1706">
        <v>100</v>
      </c>
      <c r="CH77" s="1706">
        <v>100</v>
      </c>
      <c r="CI77" s="1706">
        <v>100</v>
      </c>
      <c r="CJ77" s="1706">
        <v>100</v>
      </c>
    </row>
    <row r="78" spans="1:88" s="249" customFormat="1" ht="43.5" customHeight="1">
      <c r="A78" s="1257" t="s">
        <v>479</v>
      </c>
      <c r="B78" s="1285" t="s">
        <v>771</v>
      </c>
      <c r="C78" s="1257">
        <v>66</v>
      </c>
      <c r="D78" s="1724">
        <f t="shared" si="48"/>
        <v>2.7149321266968326E-2</v>
      </c>
      <c r="E78" s="1258"/>
      <c r="F78" s="1258"/>
      <c r="G78" s="1258"/>
      <c r="H78" s="1258"/>
      <c r="I78" s="1258"/>
      <c r="J78" s="1258"/>
      <c r="K78" s="1258"/>
      <c r="L78" s="1258"/>
      <c r="M78" s="1258"/>
      <c r="N78" s="1258"/>
      <c r="O78" s="1258"/>
      <c r="P78" s="1259">
        <v>30</v>
      </c>
      <c r="Q78" s="1259">
        <v>75</v>
      </c>
      <c r="R78" s="1259">
        <v>100</v>
      </c>
      <c r="S78" s="1287"/>
      <c r="T78" s="1287"/>
      <c r="U78" s="1287"/>
      <c r="V78" s="1258"/>
      <c r="W78" s="1258"/>
      <c r="X78" s="1258"/>
      <c r="Y78" s="1258"/>
      <c r="Z78" s="1258"/>
      <c r="AA78" s="1258"/>
      <c r="AB78" s="1258"/>
      <c r="AC78" s="1258"/>
      <c r="AD78" s="1258"/>
      <c r="AE78" s="1258"/>
      <c r="AF78" s="1258"/>
      <c r="AG78" s="1258"/>
      <c r="AH78" s="1258"/>
      <c r="AI78" s="1258"/>
      <c r="AJ78" s="1272"/>
      <c r="AK78" s="1273"/>
      <c r="AL78" s="1273"/>
      <c r="AM78" s="1273"/>
      <c r="AN78" s="1273"/>
      <c r="AO78" s="1272"/>
      <c r="AP78" s="1272"/>
      <c r="AQ78" s="1272"/>
      <c r="AR78" s="1273"/>
      <c r="AS78" s="1273"/>
      <c r="AT78" s="1273"/>
      <c r="AU78" s="1273"/>
      <c r="AV78" s="1273"/>
      <c r="AW78" s="1273"/>
      <c r="AX78" s="1273"/>
      <c r="AY78" s="1272"/>
      <c r="AZ78" s="1272"/>
      <c r="BA78" s="1272"/>
      <c r="BB78" s="1272"/>
      <c r="BC78" s="1272"/>
      <c r="BD78" s="1274"/>
      <c r="BE78" s="1274"/>
      <c r="BF78" s="1274"/>
      <c r="BG78" s="1274"/>
      <c r="BH78" s="1274"/>
      <c r="BI78" s="1274"/>
      <c r="BJ78" s="1274"/>
      <c r="BK78" s="1274"/>
      <c r="BL78" s="1274"/>
      <c r="BM78" s="1274"/>
      <c r="BN78" s="1274"/>
      <c r="BO78" s="1274"/>
      <c r="BP78" s="1274"/>
      <c r="BQ78" s="1274"/>
      <c r="BR78" s="1274"/>
      <c r="BS78" s="1274"/>
      <c r="BT78" s="1274"/>
      <c r="BU78" s="1274"/>
      <c r="BV78" s="1274"/>
      <c r="BW78" s="1274"/>
      <c r="BX78" s="1274"/>
      <c r="BY78" s="1706"/>
      <c r="BZ78" s="1706"/>
      <c r="CA78" s="1706"/>
      <c r="CB78" s="1706"/>
      <c r="CC78" s="1706"/>
      <c r="CD78" s="1706"/>
      <c r="CE78" s="1706"/>
      <c r="CF78" s="1706"/>
      <c r="CG78" s="1706"/>
      <c r="CH78" s="1706"/>
      <c r="CI78" s="1706"/>
      <c r="CJ78" s="1706"/>
    </row>
    <row r="79" spans="1:88" s="249" customFormat="1" ht="64.5" customHeight="1">
      <c r="A79" s="1257" t="s">
        <v>480</v>
      </c>
      <c r="B79" s="1285" t="s">
        <v>779</v>
      </c>
      <c r="C79" s="1257">
        <v>124</v>
      </c>
      <c r="D79" s="1724">
        <f t="shared" si="48"/>
        <v>5.1007815713698064E-2</v>
      </c>
      <c r="E79" s="1258"/>
      <c r="F79" s="1258"/>
      <c r="G79" s="1258"/>
      <c r="H79" s="1258"/>
      <c r="I79" s="1258"/>
      <c r="J79" s="1258"/>
      <c r="K79" s="1258"/>
      <c r="L79" s="1258"/>
      <c r="M79" s="1258"/>
      <c r="N79" s="1258"/>
      <c r="O79" s="1258"/>
      <c r="P79" s="1258"/>
      <c r="Q79" s="1258"/>
      <c r="R79" s="1259">
        <v>100</v>
      </c>
      <c r="S79" s="1287"/>
      <c r="T79" s="1287"/>
      <c r="U79" s="1287"/>
      <c r="V79" s="1258"/>
      <c r="W79" s="1258"/>
      <c r="X79" s="1258"/>
      <c r="Y79" s="1258"/>
      <c r="Z79" s="1258"/>
      <c r="AA79" s="1258"/>
      <c r="AB79" s="1258"/>
      <c r="AC79" s="1258"/>
      <c r="AD79" s="1258"/>
      <c r="AE79" s="1258"/>
      <c r="AF79" s="1258"/>
      <c r="AG79" s="1258"/>
      <c r="AH79" s="1258"/>
      <c r="AI79" s="1258"/>
      <c r="AJ79" s="1272"/>
      <c r="AK79" s="1273"/>
      <c r="AL79" s="1273"/>
      <c r="AM79" s="1273"/>
      <c r="AN79" s="1273"/>
      <c r="AO79" s="1272"/>
      <c r="AP79" s="1272"/>
      <c r="AQ79" s="1272"/>
      <c r="AR79" s="1273"/>
      <c r="AS79" s="1273"/>
      <c r="AT79" s="1273"/>
      <c r="AU79" s="1273"/>
      <c r="AV79" s="1273"/>
      <c r="AW79" s="1273"/>
      <c r="AX79" s="1273"/>
      <c r="AY79" s="1272"/>
      <c r="AZ79" s="1272"/>
      <c r="BA79" s="1272"/>
      <c r="BB79" s="1272"/>
      <c r="BC79" s="1272"/>
      <c r="BD79" s="1274"/>
      <c r="BE79" s="1274"/>
      <c r="BF79" s="1274"/>
      <c r="BG79" s="1274"/>
      <c r="BH79" s="1274"/>
      <c r="BI79" s="1274"/>
      <c r="BJ79" s="1274"/>
      <c r="BK79" s="1274"/>
      <c r="BL79" s="1274"/>
      <c r="BM79" s="1274"/>
      <c r="BN79" s="1274"/>
      <c r="BO79" s="1274"/>
      <c r="BP79" s="1274"/>
      <c r="BQ79" s="1274"/>
      <c r="BR79" s="1274"/>
      <c r="BS79" s="1274"/>
      <c r="BT79" s="1274"/>
      <c r="BU79" s="1274"/>
      <c r="BV79" s="1274"/>
      <c r="BW79" s="1274"/>
      <c r="BX79" s="1274"/>
      <c r="BY79" s="1706">
        <v>100</v>
      </c>
      <c r="BZ79" s="1706">
        <v>100</v>
      </c>
      <c r="CA79" s="1706">
        <v>100</v>
      </c>
      <c r="CB79" s="1706">
        <v>100</v>
      </c>
      <c r="CC79" s="1706">
        <v>100</v>
      </c>
      <c r="CD79" s="1706">
        <v>100</v>
      </c>
      <c r="CE79" s="1706">
        <v>100</v>
      </c>
      <c r="CF79" s="1706">
        <v>100</v>
      </c>
      <c r="CG79" s="1706">
        <v>100</v>
      </c>
      <c r="CH79" s="1706">
        <v>100</v>
      </c>
      <c r="CI79" s="1706">
        <v>100</v>
      </c>
      <c r="CJ79" s="1706">
        <v>100</v>
      </c>
    </row>
    <row r="80" spans="1:88" s="249" customFormat="1" ht="45.95" customHeight="1">
      <c r="A80" s="1257" t="s">
        <v>481</v>
      </c>
      <c r="B80" s="1285" t="s">
        <v>780</v>
      </c>
      <c r="C80" s="1257">
        <v>70</v>
      </c>
      <c r="D80" s="1724">
        <f t="shared" si="48"/>
        <v>2.8794734677087618E-2</v>
      </c>
      <c r="E80" s="1258"/>
      <c r="F80" s="1258"/>
      <c r="G80" s="1258"/>
      <c r="H80" s="1258"/>
      <c r="I80" s="1258"/>
      <c r="J80" s="1258"/>
      <c r="K80" s="1258"/>
      <c r="L80" s="1258"/>
      <c r="M80" s="1258"/>
      <c r="N80" s="1258"/>
      <c r="O80" s="1258"/>
      <c r="P80" s="1258"/>
      <c r="Q80" s="1259">
        <v>75</v>
      </c>
      <c r="R80" s="1259">
        <v>100</v>
      </c>
      <c r="S80" s="1287"/>
      <c r="T80" s="1287"/>
      <c r="U80" s="1287"/>
      <c r="V80" s="1258"/>
      <c r="W80" s="1258"/>
      <c r="X80" s="1258"/>
      <c r="Y80" s="1258"/>
      <c r="Z80" s="1258"/>
      <c r="AA80" s="1258"/>
      <c r="AB80" s="1258"/>
      <c r="AC80" s="1258"/>
      <c r="AD80" s="1258"/>
      <c r="AE80" s="1258"/>
      <c r="AF80" s="1258"/>
      <c r="AG80" s="1258"/>
      <c r="AH80" s="1258"/>
      <c r="AI80" s="1258"/>
      <c r="AJ80" s="1272"/>
      <c r="AK80" s="1273"/>
      <c r="AL80" s="1273"/>
      <c r="AM80" s="1273"/>
      <c r="AN80" s="1273"/>
      <c r="AO80" s="1272"/>
      <c r="AP80" s="1272"/>
      <c r="AQ80" s="1272"/>
      <c r="AR80" s="1273"/>
      <c r="AS80" s="1273"/>
      <c r="AT80" s="1273"/>
      <c r="AU80" s="1273"/>
      <c r="AV80" s="1273"/>
      <c r="AW80" s="1273"/>
      <c r="AX80" s="1273"/>
      <c r="AY80" s="1272"/>
      <c r="AZ80" s="1272"/>
      <c r="BA80" s="1272"/>
      <c r="BB80" s="1272"/>
      <c r="BC80" s="1272"/>
      <c r="BD80" s="1274"/>
      <c r="BE80" s="1274"/>
      <c r="BF80" s="1274"/>
      <c r="BG80" s="1274"/>
      <c r="BH80" s="1274"/>
      <c r="BI80" s="1274"/>
      <c r="BJ80" s="1274"/>
      <c r="BK80" s="1274"/>
      <c r="BL80" s="1274"/>
      <c r="BM80" s="1274"/>
      <c r="BN80" s="1274"/>
      <c r="BO80" s="1274"/>
      <c r="BP80" s="1274"/>
      <c r="BQ80" s="1274"/>
      <c r="BR80" s="1274"/>
      <c r="BS80" s="1274"/>
      <c r="BT80" s="1274"/>
      <c r="BU80" s="1274"/>
      <c r="BV80" s="1274"/>
      <c r="BW80" s="1274"/>
      <c r="BX80" s="1274"/>
      <c r="BY80" s="1706">
        <v>100</v>
      </c>
      <c r="BZ80" s="1706">
        <v>100</v>
      </c>
      <c r="CA80" s="1706">
        <v>100</v>
      </c>
      <c r="CB80" s="1706">
        <v>100</v>
      </c>
      <c r="CC80" s="1706">
        <v>100</v>
      </c>
      <c r="CD80" s="1706">
        <v>100</v>
      </c>
      <c r="CE80" s="1706">
        <v>100</v>
      </c>
      <c r="CF80" s="1706">
        <v>100</v>
      </c>
      <c r="CG80" s="1706">
        <v>100</v>
      </c>
      <c r="CH80" s="1706">
        <v>100</v>
      </c>
      <c r="CI80" s="1706">
        <v>100</v>
      </c>
      <c r="CJ80" s="1706">
        <v>100</v>
      </c>
    </row>
    <row r="81" spans="1:88" s="249" customFormat="1" ht="45.95" customHeight="1">
      <c r="A81" s="1257" t="s">
        <v>482</v>
      </c>
      <c r="B81" s="1285" t="s">
        <v>781</v>
      </c>
      <c r="C81" s="1257">
        <v>55</v>
      </c>
      <c r="D81" s="1724">
        <f t="shared" si="48"/>
        <v>2.2624434389140271E-2</v>
      </c>
      <c r="E81" s="1258"/>
      <c r="F81" s="1258"/>
      <c r="G81" s="1258"/>
      <c r="H81" s="1258"/>
      <c r="I81" s="1258"/>
      <c r="J81" s="1258"/>
      <c r="K81" s="1258"/>
      <c r="L81" s="1258"/>
      <c r="M81" s="1258"/>
      <c r="N81" s="1258"/>
      <c r="O81" s="1258"/>
      <c r="P81" s="1259">
        <v>30</v>
      </c>
      <c r="Q81" s="1259">
        <v>75</v>
      </c>
      <c r="R81" s="1259">
        <v>100</v>
      </c>
      <c r="S81" s="1287"/>
      <c r="T81" s="1287"/>
      <c r="U81" s="1287"/>
      <c r="V81" s="1258"/>
      <c r="W81" s="1258"/>
      <c r="X81" s="1258"/>
      <c r="Y81" s="1258"/>
      <c r="Z81" s="1258"/>
      <c r="AA81" s="1258"/>
      <c r="AB81" s="1258"/>
      <c r="AC81" s="1258"/>
      <c r="AD81" s="1258"/>
      <c r="AE81" s="1258"/>
      <c r="AF81" s="1258"/>
      <c r="AG81" s="1258"/>
      <c r="AH81" s="1258"/>
      <c r="AI81" s="1258"/>
      <c r="AJ81" s="1272"/>
      <c r="AK81" s="1273"/>
      <c r="AL81" s="1273"/>
      <c r="AM81" s="1273"/>
      <c r="AN81" s="1273"/>
      <c r="AO81" s="1272"/>
      <c r="AP81" s="1272"/>
      <c r="AQ81" s="1272"/>
      <c r="AR81" s="1273"/>
      <c r="AS81" s="1273"/>
      <c r="AT81" s="1273"/>
      <c r="AU81" s="1273"/>
      <c r="AV81" s="1273"/>
      <c r="AW81" s="1273"/>
      <c r="AX81" s="1273"/>
      <c r="AY81" s="1272"/>
      <c r="AZ81" s="1272"/>
      <c r="BA81" s="1272"/>
      <c r="BB81" s="1272"/>
      <c r="BC81" s="1272"/>
      <c r="BD81" s="1274"/>
      <c r="BE81" s="1274"/>
      <c r="BF81" s="1274"/>
      <c r="BG81" s="1274"/>
      <c r="BH81" s="1274"/>
      <c r="BI81" s="1274"/>
      <c r="BJ81" s="1274"/>
      <c r="BK81" s="1274"/>
      <c r="BL81" s="1274"/>
      <c r="BM81" s="1274"/>
      <c r="BN81" s="1274"/>
      <c r="BO81" s="1274"/>
      <c r="BP81" s="1274"/>
      <c r="BQ81" s="1274"/>
      <c r="BR81" s="1274"/>
      <c r="BS81" s="1274"/>
      <c r="BT81" s="1274"/>
      <c r="BU81" s="1274"/>
      <c r="BV81" s="1274"/>
      <c r="BW81" s="1274"/>
      <c r="BX81" s="1274"/>
      <c r="BY81" s="1706"/>
      <c r="BZ81" s="1706"/>
      <c r="CA81" s="1706"/>
      <c r="CB81" s="1706"/>
      <c r="CC81" s="1706"/>
      <c r="CD81" s="1706"/>
      <c r="CE81" s="1706"/>
      <c r="CF81" s="1706"/>
      <c r="CG81" s="1706"/>
      <c r="CH81" s="1706"/>
      <c r="CI81" s="1706"/>
      <c r="CJ81" s="1706"/>
    </row>
    <row r="82" spans="1:88" s="249" customFormat="1" ht="45.95" customHeight="1">
      <c r="A82" s="1257" t="s">
        <v>483</v>
      </c>
      <c r="B82" s="1285" t="s">
        <v>782</v>
      </c>
      <c r="C82" s="1257">
        <v>48</v>
      </c>
      <c r="D82" s="1724">
        <f t="shared" si="48"/>
        <v>1.974496092143151E-2</v>
      </c>
      <c r="E82" s="1258"/>
      <c r="F82" s="1258"/>
      <c r="G82" s="1258"/>
      <c r="H82" s="1258"/>
      <c r="I82" s="1258"/>
      <c r="J82" s="1258"/>
      <c r="K82" s="1258"/>
      <c r="L82" s="1258"/>
      <c r="M82" s="1258"/>
      <c r="N82" s="1258"/>
      <c r="O82" s="1258"/>
      <c r="P82" s="1259">
        <v>30</v>
      </c>
      <c r="Q82" s="1259">
        <v>75</v>
      </c>
      <c r="R82" s="1259">
        <v>100</v>
      </c>
      <c r="S82" s="1287"/>
      <c r="T82" s="1287"/>
      <c r="U82" s="1287"/>
      <c r="V82" s="1258"/>
      <c r="W82" s="1258"/>
      <c r="X82" s="1258"/>
      <c r="Y82" s="1258"/>
      <c r="Z82" s="1258"/>
      <c r="AA82" s="1258"/>
      <c r="AB82" s="1258"/>
      <c r="AC82" s="1258"/>
      <c r="AD82" s="1258"/>
      <c r="AE82" s="1258"/>
      <c r="AF82" s="1258"/>
      <c r="AG82" s="1258"/>
      <c r="AH82" s="1258"/>
      <c r="AI82" s="1258"/>
      <c r="AJ82" s="1272"/>
      <c r="AK82" s="1273"/>
      <c r="AL82" s="1273"/>
      <c r="AM82" s="1273"/>
      <c r="AN82" s="1273"/>
      <c r="AO82" s="1272"/>
      <c r="AP82" s="1272"/>
      <c r="AQ82" s="1272"/>
      <c r="AR82" s="1273"/>
      <c r="AS82" s="1273"/>
      <c r="AT82" s="1273"/>
      <c r="AU82" s="1273"/>
      <c r="AV82" s="1273"/>
      <c r="AW82" s="1273"/>
      <c r="AX82" s="1273"/>
      <c r="AY82" s="1272"/>
      <c r="AZ82" s="1272"/>
      <c r="BA82" s="1272"/>
      <c r="BB82" s="1272"/>
      <c r="BC82" s="1272"/>
      <c r="BD82" s="1274"/>
      <c r="BE82" s="1274"/>
      <c r="BF82" s="1274"/>
      <c r="BG82" s="1274"/>
      <c r="BH82" s="1274"/>
      <c r="BI82" s="1274"/>
      <c r="BJ82" s="1274"/>
      <c r="BK82" s="1274"/>
      <c r="BL82" s="1274"/>
      <c r="BM82" s="1274"/>
      <c r="BN82" s="1274"/>
      <c r="BO82" s="1274"/>
      <c r="BP82" s="1274"/>
      <c r="BQ82" s="1274"/>
      <c r="BR82" s="1274"/>
      <c r="BS82" s="1274"/>
      <c r="BT82" s="1274"/>
      <c r="BU82" s="1274"/>
      <c r="BV82" s="1274"/>
      <c r="BW82" s="1274"/>
      <c r="BX82" s="1274"/>
      <c r="BY82" s="1706">
        <v>100</v>
      </c>
      <c r="BZ82" s="1706">
        <v>100</v>
      </c>
      <c r="CA82" s="1706">
        <v>100</v>
      </c>
      <c r="CB82" s="1706">
        <v>100</v>
      </c>
      <c r="CC82" s="1706">
        <v>100</v>
      </c>
      <c r="CD82" s="1706">
        <v>100</v>
      </c>
      <c r="CE82" s="1706">
        <v>100</v>
      </c>
      <c r="CF82" s="1706">
        <v>100</v>
      </c>
      <c r="CG82" s="1706">
        <v>100</v>
      </c>
      <c r="CH82" s="1706">
        <v>100</v>
      </c>
      <c r="CI82" s="1706">
        <v>100</v>
      </c>
      <c r="CJ82" s="1706">
        <v>100</v>
      </c>
    </row>
    <row r="83" spans="1:88" s="249" customFormat="1" ht="45.95" customHeight="1">
      <c r="A83" s="1257" t="s">
        <v>484</v>
      </c>
      <c r="B83" s="1285" t="s">
        <v>720</v>
      </c>
      <c r="C83" s="1257">
        <v>22</v>
      </c>
      <c r="D83" s="1724">
        <f t="shared" si="48"/>
        <v>9.0497737556561094E-3</v>
      </c>
      <c r="E83" s="1258"/>
      <c r="F83" s="1258"/>
      <c r="G83" s="1258"/>
      <c r="H83" s="1258"/>
      <c r="I83" s="1258"/>
      <c r="J83" s="1258"/>
      <c r="K83" s="1258"/>
      <c r="L83" s="1258"/>
      <c r="M83" s="1258"/>
      <c r="N83" s="1258"/>
      <c r="O83" s="1258"/>
      <c r="P83" s="1258"/>
      <c r="Q83" s="1258"/>
      <c r="R83" s="1259">
        <v>100</v>
      </c>
      <c r="S83" s="1287"/>
      <c r="T83" s="1287"/>
      <c r="U83" s="1759"/>
      <c r="V83" s="1258"/>
      <c r="W83" s="1258"/>
      <c r="X83" s="1258"/>
      <c r="Y83" s="1258"/>
      <c r="Z83" s="1258"/>
      <c r="AA83" s="1258"/>
      <c r="AB83" s="1258"/>
      <c r="AC83" s="1258"/>
      <c r="AD83" s="1258"/>
      <c r="AE83" s="1258"/>
      <c r="AF83" s="1258"/>
      <c r="AG83" s="1258"/>
      <c r="AH83" s="1258"/>
      <c r="AI83" s="1258"/>
      <c r="AJ83" s="1272"/>
      <c r="AK83" s="1273"/>
      <c r="AL83" s="1273"/>
      <c r="AM83" s="1273"/>
      <c r="AN83" s="1273"/>
      <c r="AO83" s="1272"/>
      <c r="AP83" s="1272"/>
      <c r="AQ83" s="1272"/>
      <c r="AR83" s="1273"/>
      <c r="AS83" s="1273"/>
      <c r="AT83" s="1273"/>
      <c r="AU83" s="1273"/>
      <c r="AV83" s="1273"/>
      <c r="AW83" s="1273"/>
      <c r="AX83" s="1273"/>
      <c r="AY83" s="1272"/>
      <c r="AZ83" s="1272"/>
      <c r="BA83" s="1272"/>
      <c r="BB83" s="1272"/>
      <c r="BC83" s="1272"/>
      <c r="BD83" s="1274"/>
      <c r="BE83" s="1274"/>
      <c r="BF83" s="1274"/>
      <c r="BG83" s="1274"/>
      <c r="BH83" s="1274"/>
      <c r="BI83" s="1274"/>
      <c r="BJ83" s="1274"/>
      <c r="BK83" s="1274"/>
      <c r="BL83" s="1274"/>
      <c r="BM83" s="1274"/>
      <c r="BN83" s="1274"/>
      <c r="BO83" s="1274"/>
      <c r="BP83" s="1274"/>
      <c r="BQ83" s="1274"/>
      <c r="BR83" s="1274"/>
      <c r="BS83" s="1274"/>
      <c r="BT83" s="1274"/>
      <c r="BU83" s="1274"/>
      <c r="BV83" s="1274"/>
      <c r="BW83" s="1274"/>
      <c r="BX83" s="1274"/>
      <c r="BY83" s="1706">
        <v>100</v>
      </c>
      <c r="BZ83" s="1706">
        <v>100</v>
      </c>
      <c r="CA83" s="1706">
        <v>100</v>
      </c>
      <c r="CB83" s="1706">
        <v>100</v>
      </c>
      <c r="CC83" s="1706">
        <v>100</v>
      </c>
      <c r="CD83" s="1706">
        <v>100</v>
      </c>
      <c r="CE83" s="1706">
        <v>100</v>
      </c>
      <c r="CF83" s="1706">
        <v>100</v>
      </c>
      <c r="CG83" s="1706">
        <v>100</v>
      </c>
      <c r="CH83" s="1706">
        <v>100</v>
      </c>
      <c r="CI83" s="1706">
        <v>100</v>
      </c>
      <c r="CJ83" s="1706">
        <v>100</v>
      </c>
    </row>
    <row r="84" spans="1:88" s="249" customFormat="1" ht="45.95" customHeight="1">
      <c r="A84" s="1257">
        <v>34</v>
      </c>
      <c r="B84" s="1751" t="s">
        <v>775</v>
      </c>
      <c r="C84" s="1257"/>
      <c r="D84" s="1724"/>
      <c r="E84" s="1258"/>
      <c r="F84" s="1258"/>
      <c r="G84" s="1258"/>
      <c r="H84" s="1258"/>
      <c r="I84" s="1258"/>
      <c r="J84" s="1258"/>
      <c r="K84" s="1258"/>
      <c r="L84" s="1258"/>
      <c r="M84" s="1258"/>
      <c r="N84" s="1258"/>
      <c r="O84" s="1258"/>
      <c r="P84" s="1258"/>
      <c r="Q84" s="1258"/>
      <c r="R84" s="1258"/>
      <c r="S84" s="1288">
        <v>50</v>
      </c>
      <c r="T84" s="1288">
        <v>10</v>
      </c>
      <c r="U84" s="1288">
        <v>15</v>
      </c>
      <c r="V84" s="1288">
        <v>20</v>
      </c>
      <c r="W84" s="1288">
        <v>25</v>
      </c>
      <c r="X84" s="1288">
        <v>35</v>
      </c>
      <c r="Y84" s="1288">
        <v>40</v>
      </c>
      <c r="Z84" s="1288">
        <v>50</v>
      </c>
      <c r="AA84" s="1288">
        <v>55</v>
      </c>
      <c r="AB84" s="1288">
        <v>60</v>
      </c>
      <c r="AC84" s="1288">
        <v>70</v>
      </c>
      <c r="AD84" s="1288">
        <v>80</v>
      </c>
      <c r="AE84" s="1288">
        <v>90</v>
      </c>
      <c r="AF84" s="1288">
        <v>100</v>
      </c>
      <c r="AG84" s="1258"/>
      <c r="AH84" s="1258"/>
      <c r="AI84" s="1258"/>
      <c r="AJ84" s="1273"/>
      <c r="AK84" s="1273"/>
      <c r="AL84" s="1273"/>
      <c r="AM84" s="1273"/>
      <c r="AN84" s="1273"/>
      <c r="AO84" s="1273"/>
      <c r="AP84" s="1273"/>
      <c r="AQ84" s="1273"/>
      <c r="AR84" s="1273"/>
      <c r="AS84" s="1273"/>
      <c r="AT84" s="1273"/>
      <c r="AU84" s="1273"/>
      <c r="AV84" s="1273"/>
      <c r="AW84" s="1273"/>
      <c r="AX84" s="1273"/>
      <c r="AY84" s="1272"/>
      <c r="AZ84" s="1272"/>
      <c r="BA84" s="1272"/>
      <c r="BB84" s="1272"/>
      <c r="BC84" s="1272"/>
      <c r="BD84" s="1274"/>
      <c r="BE84" s="1274"/>
      <c r="BF84" s="1274"/>
      <c r="BG84" s="1274"/>
      <c r="BH84" s="1274"/>
      <c r="BI84" s="1274"/>
      <c r="BJ84" s="1274"/>
      <c r="BK84" s="1274"/>
      <c r="BL84" s="1274"/>
      <c r="BM84" s="1274"/>
      <c r="BN84" s="1274"/>
      <c r="BO84" s="1274"/>
      <c r="BP84" s="1274"/>
      <c r="BQ84" s="1274"/>
      <c r="BR84" s="1274"/>
      <c r="BS84" s="1274"/>
      <c r="BT84" s="1274"/>
      <c r="BU84" s="1274"/>
      <c r="BV84" s="1274"/>
      <c r="BW84" s="1274"/>
      <c r="BX84" s="1274"/>
      <c r="BY84" s="1706"/>
      <c r="BZ84" s="1706"/>
      <c r="CA84" s="1706"/>
      <c r="CB84" s="1706"/>
      <c r="CC84" s="1706"/>
      <c r="CD84" s="1706"/>
      <c r="CE84" s="1706"/>
      <c r="CF84" s="1706"/>
      <c r="CG84" s="1706"/>
      <c r="CH84" s="1706"/>
      <c r="CI84" s="1706"/>
      <c r="CJ84" s="1706"/>
    </row>
    <row r="85" spans="1:88" s="249" customFormat="1" ht="45.95" customHeight="1">
      <c r="A85" s="1257">
        <v>35</v>
      </c>
      <c r="B85" s="1286" t="s">
        <v>534</v>
      </c>
      <c r="C85" s="1257"/>
      <c r="D85" s="1724"/>
      <c r="E85" s="1258"/>
      <c r="F85" s="1258"/>
      <c r="G85" s="1258"/>
      <c r="H85" s="1258"/>
      <c r="I85" s="1258"/>
      <c r="J85" s="1258"/>
      <c r="K85" s="1258"/>
      <c r="L85" s="1258"/>
      <c r="M85" s="1258"/>
      <c r="N85" s="1258"/>
      <c r="O85" s="1258"/>
      <c r="P85" s="1258"/>
      <c r="Q85" s="1258"/>
      <c r="R85" s="1258"/>
      <c r="S85" s="1258"/>
      <c r="T85" s="1258"/>
      <c r="U85" s="1258"/>
      <c r="V85" s="1258"/>
      <c r="W85" s="1258"/>
      <c r="X85" s="1258"/>
      <c r="Y85" s="1258"/>
      <c r="Z85" s="1258"/>
      <c r="AA85" s="1258"/>
      <c r="AB85" s="1258"/>
      <c r="AC85" s="1258"/>
      <c r="AD85" s="1258"/>
      <c r="AE85" s="1258"/>
      <c r="AF85" s="1258"/>
      <c r="AG85" s="1288">
        <v>50</v>
      </c>
      <c r="AH85" s="1288">
        <v>100</v>
      </c>
      <c r="AI85" s="1289"/>
      <c r="AJ85" s="1273"/>
      <c r="AK85" s="1273"/>
      <c r="AL85" s="1273"/>
      <c r="AM85" s="1273"/>
      <c r="AN85" s="1273"/>
      <c r="AO85" s="1273"/>
      <c r="AP85" s="1273"/>
      <c r="AQ85" s="1273"/>
      <c r="AR85" s="1273"/>
      <c r="AS85" s="1273"/>
      <c r="AT85" s="1273"/>
      <c r="AU85" s="1273"/>
      <c r="AV85" s="1273"/>
      <c r="AW85" s="1273"/>
      <c r="AX85" s="1273"/>
      <c r="AY85" s="1272"/>
      <c r="AZ85" s="1272"/>
      <c r="BA85" s="1272"/>
      <c r="BB85" s="1272"/>
      <c r="BC85" s="1272"/>
      <c r="BD85" s="1274"/>
      <c r="BE85" s="1274"/>
      <c r="BF85" s="1274"/>
      <c r="BG85" s="1274"/>
      <c r="BH85" s="1274"/>
      <c r="BI85" s="1274"/>
      <c r="BJ85" s="1274"/>
      <c r="BK85" s="1274"/>
      <c r="BL85" s="1274"/>
      <c r="BM85" s="1274"/>
      <c r="BN85" s="1274"/>
      <c r="BO85" s="1274"/>
      <c r="BP85" s="1274"/>
      <c r="BQ85" s="1274"/>
      <c r="BR85" s="1274"/>
      <c r="BS85" s="1274"/>
      <c r="BT85" s="1274"/>
      <c r="BU85" s="1274"/>
      <c r="BV85" s="1274"/>
      <c r="BW85" s="1274"/>
      <c r="BX85" s="1274"/>
      <c r="BY85" s="1706"/>
      <c r="BZ85" s="1706"/>
      <c r="CA85" s="1706"/>
      <c r="CB85" s="1706"/>
      <c r="CC85" s="1706"/>
      <c r="CD85" s="1706"/>
      <c r="CE85" s="1706"/>
      <c r="CF85" s="1706"/>
      <c r="CG85" s="1706"/>
      <c r="CH85" s="1706"/>
      <c r="CI85" s="1706"/>
      <c r="CJ85" s="1706"/>
    </row>
    <row r="86" spans="1:88" s="249" customFormat="1" ht="45.95" customHeight="1">
      <c r="A86" s="1257">
        <v>36</v>
      </c>
      <c r="B86" s="1286" t="s">
        <v>776</v>
      </c>
      <c r="C86" s="1257"/>
      <c r="D86" s="1724"/>
      <c r="E86" s="1258"/>
      <c r="F86" s="1258"/>
      <c r="G86" s="1258"/>
      <c r="H86" s="1258"/>
      <c r="I86" s="1258"/>
      <c r="J86" s="1258"/>
      <c r="K86" s="1258"/>
      <c r="L86" s="1258"/>
      <c r="M86" s="1258"/>
      <c r="N86" s="1258"/>
      <c r="O86" s="1258"/>
      <c r="P86" s="1258"/>
      <c r="Q86" s="1258"/>
      <c r="R86" s="1258"/>
      <c r="S86" s="1258"/>
      <c r="T86" s="1258"/>
      <c r="U86" s="1258"/>
      <c r="V86" s="1258"/>
      <c r="W86" s="1258"/>
      <c r="X86" s="1258"/>
      <c r="Y86" s="1258"/>
      <c r="Z86" s="1258"/>
      <c r="AA86" s="1258"/>
      <c r="AB86" s="1258"/>
      <c r="AC86" s="1258"/>
      <c r="AD86" s="1258"/>
      <c r="AE86" s="1258"/>
      <c r="AF86" s="1258"/>
      <c r="AG86" s="1238"/>
      <c r="AH86" s="1238"/>
      <c r="AI86" s="1288">
        <v>100</v>
      </c>
      <c r="AJ86" s="1273"/>
      <c r="AK86" s="1273"/>
      <c r="AL86" s="1273"/>
      <c r="AM86" s="1273"/>
      <c r="AN86" s="1273"/>
      <c r="AO86" s="1273"/>
      <c r="AP86" s="1273"/>
      <c r="AQ86" s="1273"/>
      <c r="AR86" s="1273"/>
      <c r="AS86" s="1273"/>
      <c r="AT86" s="1273"/>
      <c r="AU86" s="1273"/>
      <c r="AV86" s="1273"/>
      <c r="AW86" s="1273"/>
      <c r="AX86" s="1273"/>
      <c r="AY86" s="1272"/>
      <c r="AZ86" s="1272"/>
      <c r="BA86" s="1272"/>
      <c r="BB86" s="1272"/>
      <c r="BC86" s="1272"/>
      <c r="BD86" s="1274"/>
      <c r="BE86" s="1274"/>
      <c r="BF86" s="1274"/>
      <c r="BG86" s="1274"/>
      <c r="BH86" s="1274"/>
      <c r="BI86" s="1274"/>
      <c r="BJ86" s="1274"/>
      <c r="BK86" s="1274"/>
      <c r="BL86" s="1274"/>
      <c r="BM86" s="1274"/>
      <c r="BN86" s="1274"/>
      <c r="BO86" s="1274"/>
      <c r="BP86" s="1274"/>
      <c r="BQ86" s="1274"/>
      <c r="BR86" s="1274"/>
      <c r="BS86" s="1274"/>
      <c r="BT86" s="1274"/>
      <c r="BU86" s="1274"/>
      <c r="BV86" s="1274"/>
      <c r="BW86" s="1274"/>
      <c r="BX86" s="1274"/>
      <c r="BY86" s="1706"/>
      <c r="BZ86" s="1706"/>
      <c r="CA86" s="1706"/>
      <c r="CB86" s="1706"/>
      <c r="CC86" s="1706"/>
      <c r="CD86" s="1706"/>
      <c r="CE86" s="1706"/>
      <c r="CF86" s="1706"/>
      <c r="CG86" s="1706"/>
      <c r="CH86" s="1706"/>
      <c r="CI86" s="1706"/>
      <c r="CJ86" s="1706"/>
    </row>
    <row r="87" spans="1:88" s="249" customFormat="1" ht="45.95" customHeight="1">
      <c r="A87" s="1257"/>
      <c r="B87" s="1285"/>
      <c r="C87" s="1257"/>
      <c r="D87" s="1724"/>
      <c r="E87" s="1258"/>
      <c r="F87" s="1258"/>
      <c r="G87" s="1258"/>
      <c r="H87" s="1258"/>
      <c r="I87" s="1258"/>
      <c r="J87" s="1258"/>
      <c r="K87" s="1258"/>
      <c r="L87" s="1258"/>
      <c r="M87" s="1258"/>
      <c r="N87" s="1258"/>
      <c r="O87" s="1258"/>
      <c r="P87" s="1258"/>
      <c r="Q87" s="1258"/>
      <c r="R87" s="1258"/>
      <c r="S87" s="1258"/>
      <c r="T87" s="1258"/>
      <c r="U87" s="1258"/>
      <c r="V87" s="1258"/>
      <c r="W87" s="1258"/>
      <c r="X87" s="1258"/>
      <c r="Y87" s="1258"/>
      <c r="Z87" s="1258"/>
      <c r="AA87" s="1258"/>
      <c r="AB87" s="1258"/>
      <c r="AC87" s="1258"/>
      <c r="AD87" s="1258"/>
      <c r="AE87" s="1258"/>
      <c r="AF87" s="1258"/>
      <c r="AG87" s="1258"/>
      <c r="AH87" s="1258"/>
      <c r="AI87" s="1258"/>
      <c r="AJ87" s="1272"/>
      <c r="AK87" s="1272"/>
      <c r="AL87" s="1272"/>
      <c r="AM87" s="1272"/>
      <c r="AN87" s="1272"/>
      <c r="AO87" s="1272"/>
      <c r="AP87" s="1272"/>
      <c r="AQ87" s="1272"/>
      <c r="AR87" s="1273"/>
      <c r="AS87" s="1273"/>
      <c r="AT87" s="1273"/>
      <c r="AU87" s="1273"/>
      <c r="AV87" s="1273"/>
      <c r="AW87" s="1273"/>
      <c r="AX87" s="1273"/>
      <c r="AY87" s="1272"/>
      <c r="AZ87" s="1272"/>
      <c r="BA87" s="1272"/>
      <c r="BB87" s="1272"/>
      <c r="BC87" s="1272"/>
      <c r="BD87" s="1274"/>
      <c r="BE87" s="1274"/>
      <c r="BF87" s="1274"/>
      <c r="BG87" s="1274"/>
      <c r="BH87" s="1274"/>
      <c r="BI87" s="1274"/>
      <c r="BJ87" s="1274"/>
      <c r="BK87" s="1274"/>
      <c r="BL87" s="1274"/>
      <c r="BM87" s="1274"/>
      <c r="BN87" s="1274"/>
      <c r="BO87" s="1274"/>
      <c r="BP87" s="1274"/>
      <c r="BQ87" s="1274"/>
      <c r="BR87" s="1274"/>
      <c r="BS87" s="1274"/>
      <c r="BT87" s="1274"/>
      <c r="BU87" s="1274"/>
      <c r="BV87" s="1274"/>
      <c r="BW87" s="1274"/>
      <c r="BX87" s="1274"/>
      <c r="BY87" s="1706"/>
      <c r="BZ87" s="1706"/>
      <c r="CA87" s="1706"/>
      <c r="CB87" s="1706"/>
      <c r="CC87" s="1706"/>
      <c r="CD87" s="1706"/>
      <c r="CE87" s="1706"/>
      <c r="CF87" s="1706"/>
      <c r="CG87" s="1706"/>
      <c r="CH87" s="1706"/>
      <c r="CI87" s="1706"/>
      <c r="CJ87" s="1706"/>
    </row>
    <row r="88" spans="1:88" s="249" customFormat="1" ht="45.95" customHeight="1">
      <c r="A88" s="1257"/>
      <c r="B88" s="1285" t="s">
        <v>535</v>
      </c>
      <c r="C88" s="1257">
        <f>SUM(C52:C83)</f>
        <v>2431</v>
      </c>
      <c r="D88" s="1724">
        <f>SUM(D53:D87)</f>
        <v>1</v>
      </c>
      <c r="E88" s="1257"/>
      <c r="F88" s="1257">
        <v>1</v>
      </c>
      <c r="G88" s="1257">
        <v>2</v>
      </c>
      <c r="H88" s="1257">
        <v>3</v>
      </c>
      <c r="I88" s="1257">
        <v>4</v>
      </c>
      <c r="J88" s="1257">
        <v>5</v>
      </c>
      <c r="K88" s="1257">
        <v>6</v>
      </c>
      <c r="L88" s="1257">
        <v>7</v>
      </c>
      <c r="M88" s="1257">
        <v>8</v>
      </c>
      <c r="N88" s="1257">
        <v>9</v>
      </c>
      <c r="O88" s="1257">
        <v>10</v>
      </c>
      <c r="P88" s="1257">
        <v>11</v>
      </c>
      <c r="Q88" s="1257">
        <v>12</v>
      </c>
      <c r="R88" s="1257">
        <v>13</v>
      </c>
      <c r="S88" s="1257"/>
      <c r="T88" s="1257"/>
      <c r="U88" s="1760"/>
      <c r="V88" s="1760"/>
      <c r="W88" s="1257"/>
      <c r="X88" s="1257"/>
      <c r="Y88" s="1257"/>
      <c r="Z88" s="1257"/>
      <c r="AA88" s="1257"/>
      <c r="AB88" s="1257"/>
      <c r="AC88" s="1257"/>
      <c r="AD88" s="1257"/>
      <c r="AE88" s="1257"/>
      <c r="AF88" s="1257"/>
      <c r="AG88" s="1257"/>
      <c r="AH88" s="1257"/>
      <c r="AI88" s="1257"/>
      <c r="AJ88" s="1270"/>
      <c r="AK88" s="1270"/>
      <c r="AL88" s="1270"/>
      <c r="AM88" s="1270"/>
      <c r="AN88" s="1270"/>
      <c r="AO88" s="1270"/>
      <c r="AP88" s="1270"/>
      <c r="AQ88" s="1270"/>
      <c r="AR88" s="1273"/>
      <c r="AS88" s="1273"/>
      <c r="AT88" s="1273"/>
      <c r="AU88" s="1273"/>
      <c r="AV88" s="1273"/>
      <c r="AW88" s="1273"/>
      <c r="AX88" s="1273"/>
      <c r="AY88" s="1270"/>
      <c r="AZ88" s="1270"/>
      <c r="BA88" s="1270"/>
      <c r="BB88" s="1270"/>
      <c r="BC88" s="1270"/>
      <c r="BD88" s="1271"/>
      <c r="BE88" s="1271"/>
      <c r="BF88" s="1271"/>
      <c r="BG88" s="1271"/>
      <c r="BH88" s="1271"/>
      <c r="BI88" s="1271"/>
      <c r="BJ88" s="1271"/>
      <c r="BK88" s="1271"/>
      <c r="BL88" s="1271"/>
      <c r="BM88" s="1271"/>
      <c r="BN88" s="1271"/>
      <c r="BO88" s="1271"/>
      <c r="BP88" s="1271"/>
      <c r="BQ88" s="1271"/>
      <c r="BR88" s="1271"/>
      <c r="BS88" s="1271"/>
      <c r="BT88" s="1271"/>
      <c r="BU88" s="1271"/>
      <c r="BV88" s="1271"/>
      <c r="BW88" s="1271"/>
      <c r="BX88" s="1271"/>
      <c r="BY88" s="1706"/>
      <c r="BZ88" s="1706"/>
      <c r="CA88" s="1706"/>
      <c r="CB88" s="1706"/>
      <c r="CC88" s="1706"/>
      <c r="CD88" s="1706"/>
      <c r="CE88" s="1706"/>
      <c r="CF88" s="1706"/>
      <c r="CG88" s="1706"/>
      <c r="CH88" s="1706"/>
      <c r="CI88" s="1706"/>
      <c r="CJ88" s="1706"/>
    </row>
    <row r="89" spans="1:88" s="249" customFormat="1" ht="45.95" customHeight="1">
      <c r="A89" s="1257"/>
      <c r="B89" s="1285" t="s">
        <v>536</v>
      </c>
      <c r="C89" s="1257"/>
      <c r="D89" s="1724"/>
      <c r="E89" s="1724"/>
      <c r="F89" s="1724">
        <v>7.0000000000000007E-2</v>
      </c>
      <c r="G89" s="1724">
        <v>0.14000000000000001</v>
      </c>
      <c r="H89" s="1724">
        <v>0.21</v>
      </c>
      <c r="I89" s="1724">
        <v>0.3</v>
      </c>
      <c r="J89" s="1724">
        <v>0.35</v>
      </c>
      <c r="K89" s="1724">
        <v>0.4</v>
      </c>
      <c r="L89" s="1724">
        <v>0.46</v>
      </c>
      <c r="M89" s="1724">
        <v>0.55000000000000004</v>
      </c>
      <c r="N89" s="1724">
        <v>0.6</v>
      </c>
      <c r="O89" s="1724">
        <v>0.75</v>
      </c>
      <c r="P89" s="1724">
        <v>0.85</v>
      </c>
      <c r="Q89" s="1724">
        <v>0.9</v>
      </c>
      <c r="R89" s="1724">
        <v>1</v>
      </c>
      <c r="S89" s="1724"/>
      <c r="T89" s="1724"/>
      <c r="U89" s="1760"/>
      <c r="V89" s="1760"/>
      <c r="W89" s="1724"/>
      <c r="X89" s="1724"/>
      <c r="Y89" s="1724"/>
      <c r="Z89" s="1724"/>
      <c r="AA89" s="1724"/>
      <c r="AB89" s="1724"/>
      <c r="AC89" s="1724"/>
      <c r="AD89" s="1724"/>
      <c r="AE89" s="1724"/>
      <c r="AF89" s="1724"/>
      <c r="AG89" s="1724"/>
      <c r="AH89" s="1724"/>
      <c r="AI89" s="1724"/>
      <c r="AJ89" s="1752"/>
      <c r="AK89" s="1752"/>
      <c r="AL89" s="1752"/>
      <c r="AM89" s="1752"/>
      <c r="AN89" s="1752"/>
      <c r="AO89" s="1752"/>
      <c r="AP89" s="1752"/>
      <c r="AQ89" s="1752"/>
      <c r="AR89" s="1273"/>
      <c r="AS89" s="1273"/>
      <c r="AT89" s="1273"/>
      <c r="AU89" s="1273"/>
      <c r="AV89" s="1273"/>
      <c r="AW89" s="1273"/>
      <c r="AX89" s="1273"/>
      <c r="AY89" s="1752"/>
      <c r="AZ89" s="1752"/>
      <c r="BA89" s="1752"/>
      <c r="BB89" s="1752"/>
      <c r="BC89" s="1752"/>
      <c r="BD89" s="1752"/>
      <c r="BE89" s="1752"/>
      <c r="BF89" s="1752"/>
      <c r="BG89" s="1752"/>
      <c r="BH89" s="1752"/>
      <c r="BI89" s="1752"/>
      <c r="BJ89" s="1752"/>
      <c r="BK89" s="1752"/>
      <c r="BL89" s="1752"/>
      <c r="BM89" s="1752"/>
      <c r="BN89" s="1752"/>
      <c r="BO89" s="1752"/>
      <c r="BP89" s="1752"/>
      <c r="BQ89" s="1752"/>
      <c r="BR89" s="1752"/>
      <c r="BS89" s="1752"/>
      <c r="BT89" s="1752"/>
      <c r="BU89" s="1752"/>
      <c r="BV89" s="1752"/>
      <c r="BW89" s="1752"/>
      <c r="BX89" s="1752"/>
      <c r="BY89" s="1706"/>
      <c r="BZ89" s="1706"/>
      <c r="CA89" s="1706"/>
      <c r="CB89" s="1706"/>
      <c r="CC89" s="1706"/>
      <c r="CD89" s="1706"/>
      <c r="CE89" s="1706"/>
      <c r="CF89" s="1706"/>
      <c r="CG89" s="1706"/>
      <c r="CH89" s="1706"/>
      <c r="CI89" s="1706"/>
      <c r="CJ89" s="1706"/>
    </row>
    <row r="90" spans="1:88" s="249" customFormat="1" ht="45.95" customHeight="1">
      <c r="A90" s="1257"/>
      <c r="B90" s="1285" t="s">
        <v>537</v>
      </c>
      <c r="C90" s="1257"/>
      <c r="D90" s="1724"/>
      <c r="E90" s="1724"/>
      <c r="F90" s="1724">
        <v>7.0000000000000007E-2</v>
      </c>
      <c r="G90" s="1724">
        <f>G89-F89</f>
        <v>7.0000000000000007E-2</v>
      </c>
      <c r="H90" s="1724">
        <f t="shared" ref="H90:P90" si="49">H89-G89</f>
        <v>6.9999999999999979E-2</v>
      </c>
      <c r="I90" s="1724">
        <f t="shared" si="49"/>
        <v>0.09</v>
      </c>
      <c r="J90" s="1724">
        <f t="shared" si="49"/>
        <v>4.9999999999999989E-2</v>
      </c>
      <c r="K90" s="1724">
        <f t="shared" si="49"/>
        <v>5.0000000000000044E-2</v>
      </c>
      <c r="L90" s="1724">
        <f t="shared" si="49"/>
        <v>0.06</v>
      </c>
      <c r="M90" s="1724">
        <f t="shared" si="49"/>
        <v>9.0000000000000024E-2</v>
      </c>
      <c r="N90" s="1724">
        <f t="shared" si="49"/>
        <v>4.9999999999999933E-2</v>
      </c>
      <c r="O90" s="1724">
        <f t="shared" si="49"/>
        <v>0.15000000000000002</v>
      </c>
      <c r="P90" s="1724">
        <f t="shared" si="49"/>
        <v>9.9999999999999978E-2</v>
      </c>
      <c r="Q90" s="1724">
        <v>7.0000000000000007E-2</v>
      </c>
      <c r="R90" s="1724">
        <f>R89-Q89</f>
        <v>9.9999999999999978E-2</v>
      </c>
      <c r="S90" s="1724"/>
      <c r="T90" s="1724"/>
      <c r="U90" s="1760"/>
      <c r="V90" s="1760"/>
      <c r="W90" s="1724"/>
      <c r="X90" s="1724"/>
      <c r="Y90" s="1724"/>
      <c r="Z90" s="1724"/>
      <c r="AA90" s="1724"/>
      <c r="AB90" s="1724"/>
      <c r="AC90" s="1724"/>
      <c r="AD90" s="1724"/>
      <c r="AE90" s="1724"/>
      <c r="AF90" s="1724"/>
      <c r="AG90" s="1724"/>
      <c r="AH90" s="1724"/>
      <c r="AI90" s="1724"/>
      <c r="AJ90" s="1752"/>
      <c r="AK90" s="1752"/>
      <c r="AL90" s="1752"/>
      <c r="AM90" s="1752"/>
      <c r="AN90" s="1752"/>
      <c r="AO90" s="1752"/>
      <c r="AP90" s="1752"/>
      <c r="AQ90" s="1752"/>
      <c r="AR90" s="1273"/>
      <c r="AS90" s="1273"/>
      <c r="AT90" s="1273"/>
      <c r="AU90" s="1273"/>
      <c r="AV90" s="1273"/>
      <c r="AW90" s="1273"/>
      <c r="AX90" s="1273"/>
      <c r="AY90" s="1752"/>
      <c r="AZ90" s="1752"/>
      <c r="BA90" s="1752"/>
      <c r="BB90" s="1752"/>
      <c r="BC90" s="1752"/>
      <c r="BD90" s="1752"/>
      <c r="BE90" s="1752"/>
      <c r="BF90" s="1752"/>
      <c r="BG90" s="1752"/>
      <c r="BH90" s="1752"/>
      <c r="BI90" s="1752"/>
      <c r="BJ90" s="1752"/>
      <c r="BK90" s="1752"/>
      <c r="BL90" s="1752"/>
      <c r="BM90" s="1752"/>
      <c r="BN90" s="1752"/>
      <c r="BO90" s="1752"/>
      <c r="BP90" s="1752"/>
      <c r="BQ90" s="1752"/>
      <c r="BR90" s="1752"/>
      <c r="BS90" s="1752"/>
      <c r="BT90" s="1752"/>
      <c r="BU90" s="1752"/>
      <c r="BV90" s="1752"/>
      <c r="BW90" s="1752"/>
      <c r="BX90" s="1752"/>
      <c r="BY90" s="1706"/>
      <c r="BZ90" s="1706"/>
      <c r="CA90" s="1706"/>
      <c r="CB90" s="1706"/>
      <c r="CC90" s="1706"/>
      <c r="CD90" s="1706"/>
      <c r="CE90" s="1706"/>
      <c r="CF90" s="1706"/>
      <c r="CG90" s="1706"/>
      <c r="CH90" s="1706"/>
      <c r="CI90" s="1706"/>
      <c r="CJ90" s="1706"/>
    </row>
    <row r="91" spans="1:88" s="249" customFormat="1" ht="45.95" customHeight="1">
      <c r="A91" s="1238"/>
      <c r="B91" s="1277" t="s">
        <v>772</v>
      </c>
      <c r="C91" s="1737" t="s">
        <v>773</v>
      </c>
      <c r="D91" s="1724"/>
      <c r="E91" s="1724"/>
      <c r="F91" s="1741">
        <v>17</v>
      </c>
      <c r="G91" s="1741">
        <v>17</v>
      </c>
      <c r="H91" s="1741">
        <v>17</v>
      </c>
      <c r="I91" s="1741">
        <v>17</v>
      </c>
      <c r="J91" s="1741">
        <v>17</v>
      </c>
      <c r="K91" s="1741">
        <v>17</v>
      </c>
      <c r="L91" s="1741">
        <v>17</v>
      </c>
      <c r="M91" s="1741">
        <v>17</v>
      </c>
      <c r="N91" s="1741">
        <v>17</v>
      </c>
      <c r="O91" s="1741">
        <v>17</v>
      </c>
      <c r="P91" s="1741">
        <v>17</v>
      </c>
      <c r="Q91" s="1741">
        <v>17</v>
      </c>
      <c r="R91" s="1741">
        <v>17</v>
      </c>
      <c r="S91" s="1741"/>
      <c r="T91" s="1741"/>
      <c r="U91" s="1760"/>
      <c r="V91" s="1760"/>
      <c r="W91" s="1741"/>
      <c r="X91" s="1741"/>
      <c r="Y91" s="1741"/>
      <c r="Z91" s="1741"/>
      <c r="AA91" s="1741"/>
      <c r="AB91" s="1724"/>
      <c r="AC91" s="1724"/>
      <c r="AD91" s="1724"/>
      <c r="AE91" s="1724"/>
      <c r="AF91" s="1724"/>
      <c r="AG91" s="1724"/>
      <c r="AH91" s="1724"/>
      <c r="AI91" s="1724"/>
      <c r="AJ91" s="1752"/>
      <c r="AK91" s="1752"/>
      <c r="AL91" s="1752"/>
      <c r="AM91" s="1752"/>
      <c r="AN91" s="1752"/>
      <c r="AO91" s="1752"/>
      <c r="AP91" s="1752"/>
      <c r="AQ91" s="1752"/>
      <c r="AR91" s="1706"/>
      <c r="AS91" s="1706"/>
      <c r="AT91" s="1706"/>
      <c r="AU91" s="1706"/>
      <c r="AV91" s="1706"/>
      <c r="AW91" s="1706"/>
      <c r="AX91" s="1706"/>
      <c r="AY91" s="1706"/>
      <c r="AZ91" s="1706"/>
      <c r="BA91" s="1706"/>
      <c r="BB91" s="1706"/>
      <c r="BC91" s="1706"/>
      <c r="BD91" s="1706"/>
      <c r="BE91" s="1706"/>
      <c r="BF91" s="1706"/>
      <c r="BG91" s="1706"/>
      <c r="BH91" s="1706"/>
      <c r="BI91" s="1706"/>
      <c r="BJ91" s="1706"/>
      <c r="BK91" s="1706"/>
      <c r="BL91" s="1706"/>
      <c r="BM91" s="1706"/>
      <c r="BN91" s="1706"/>
      <c r="BO91" s="1706"/>
      <c r="BP91" s="1706"/>
      <c r="BQ91" s="1706"/>
      <c r="BR91" s="1706"/>
      <c r="BS91" s="1706"/>
      <c r="BT91" s="1706"/>
      <c r="BU91" s="1706"/>
      <c r="BV91" s="1706"/>
      <c r="BW91" s="1706"/>
      <c r="BX91" s="1706"/>
      <c r="BY91" s="1706"/>
      <c r="BZ91" s="1706"/>
      <c r="CA91" s="1706"/>
      <c r="CB91" s="1706"/>
      <c r="CC91" s="1706"/>
      <c r="CD91" s="1706"/>
      <c r="CE91" s="1706"/>
      <c r="CF91" s="1706"/>
      <c r="CG91" s="1706"/>
      <c r="CH91" s="1706"/>
      <c r="CI91" s="1706"/>
    </row>
    <row r="92" spans="1:88" s="249" customFormat="1" ht="45.95" customHeight="1">
      <c r="A92" s="1238"/>
      <c r="B92" s="1277">
        <f>'№5.1Демонтаж БУ'!B50</f>
        <v>0</v>
      </c>
      <c r="C92" s="1737" t="s">
        <v>774</v>
      </c>
      <c r="D92" s="1724"/>
      <c r="E92" s="1724"/>
      <c r="F92" s="1741">
        <v>1</v>
      </c>
      <c r="G92" s="1741">
        <v>1</v>
      </c>
      <c r="H92" s="1741">
        <v>1</v>
      </c>
      <c r="I92" s="1741">
        <v>1</v>
      </c>
      <c r="J92" s="1741">
        <v>1</v>
      </c>
      <c r="K92" s="1741">
        <v>1</v>
      </c>
      <c r="L92" s="1741">
        <v>1</v>
      </c>
      <c r="M92" s="1741">
        <v>1</v>
      </c>
      <c r="N92" s="1741">
        <v>1</v>
      </c>
      <c r="O92" s="1741">
        <v>1</v>
      </c>
      <c r="P92" s="1741">
        <v>1</v>
      </c>
      <c r="Q92" s="1741">
        <v>1</v>
      </c>
      <c r="R92" s="1741">
        <v>1</v>
      </c>
      <c r="S92" s="1741"/>
      <c r="T92" s="1741"/>
      <c r="U92" s="1760"/>
      <c r="V92" s="1760"/>
      <c r="W92" s="1741"/>
      <c r="X92" s="1741"/>
      <c r="Y92" s="1741"/>
      <c r="Z92" s="1741"/>
      <c r="AA92" s="1741"/>
      <c r="AB92" s="1724"/>
      <c r="AC92" s="1724"/>
      <c r="AD92" s="1724"/>
      <c r="AE92" s="1724"/>
      <c r="AF92" s="1724"/>
      <c r="AG92" s="1724"/>
      <c r="AH92" s="1724"/>
      <c r="AI92" s="1724"/>
      <c r="AJ92" s="1752"/>
      <c r="AK92" s="1752"/>
      <c r="AL92" s="1752"/>
      <c r="AM92" s="1752"/>
      <c r="AN92" s="1752"/>
      <c r="AO92" s="1752"/>
      <c r="AP92" s="1752"/>
      <c r="AQ92" s="1752"/>
      <c r="AR92" s="1706"/>
      <c r="AS92" s="1706"/>
      <c r="AT92" s="1706"/>
      <c r="AU92" s="1706"/>
      <c r="AV92" s="1706"/>
      <c r="AW92" s="1706"/>
      <c r="AX92" s="1706"/>
      <c r="AY92" s="1706"/>
      <c r="AZ92" s="1706"/>
      <c r="BA92" s="1706"/>
      <c r="BB92" s="1706"/>
      <c r="BC92" s="1706"/>
      <c r="BD92" s="1706"/>
      <c r="BE92" s="1706"/>
      <c r="BF92" s="1706"/>
      <c r="BG92" s="1706"/>
      <c r="BH92" s="1706"/>
      <c r="BI92" s="1706"/>
      <c r="BJ92" s="1706"/>
      <c r="BK92" s="1706"/>
      <c r="BL92" s="1706"/>
      <c r="BM92" s="1706"/>
      <c r="BN92" s="1706"/>
      <c r="BO92" s="1706"/>
      <c r="BP92" s="1706"/>
      <c r="BQ92" s="1706"/>
      <c r="BR92" s="1706"/>
      <c r="BS92" s="1706"/>
      <c r="BT92" s="1706"/>
      <c r="BU92" s="1706"/>
      <c r="BV92" s="1706"/>
      <c r="BW92" s="1706"/>
      <c r="BX92" s="1706"/>
      <c r="BY92" s="1706"/>
      <c r="BZ92" s="1706"/>
      <c r="CA92" s="1706"/>
      <c r="CB92" s="1706"/>
      <c r="CC92" s="1706"/>
      <c r="CD92" s="1706"/>
      <c r="CE92" s="1706"/>
      <c r="CF92" s="1706"/>
      <c r="CG92" s="1706"/>
      <c r="CH92" s="1706"/>
      <c r="CI92" s="1706"/>
    </row>
    <row r="93" spans="1:88" s="249" customFormat="1" ht="45.95" customHeight="1">
      <c r="A93" s="1238"/>
      <c r="B93" s="1277">
        <f>'№5.1Демонтаж БУ'!B51</f>
        <v>0</v>
      </c>
      <c r="C93" s="1737" t="s">
        <v>774</v>
      </c>
      <c r="D93" s="1724"/>
      <c r="E93" s="1724"/>
      <c r="F93" s="1741">
        <v>2</v>
      </c>
      <c r="G93" s="1741">
        <v>2</v>
      </c>
      <c r="H93" s="1741">
        <v>2</v>
      </c>
      <c r="I93" s="1741">
        <v>2</v>
      </c>
      <c r="J93" s="1741">
        <v>2</v>
      </c>
      <c r="K93" s="1741">
        <v>2</v>
      </c>
      <c r="L93" s="1741">
        <v>2</v>
      </c>
      <c r="M93" s="1741">
        <v>2</v>
      </c>
      <c r="N93" s="1741">
        <v>2</v>
      </c>
      <c r="O93" s="1741">
        <v>2</v>
      </c>
      <c r="P93" s="1741">
        <v>2</v>
      </c>
      <c r="Q93" s="1741">
        <v>2</v>
      </c>
      <c r="R93" s="1741">
        <v>2</v>
      </c>
      <c r="S93" s="1741"/>
      <c r="T93" s="1741"/>
      <c r="U93" s="1760"/>
      <c r="V93" s="1760"/>
      <c r="W93" s="1741"/>
      <c r="X93" s="1741"/>
      <c r="Y93" s="1741"/>
      <c r="Z93" s="1741"/>
      <c r="AA93" s="1741"/>
      <c r="AB93" s="1724"/>
      <c r="AC93" s="1724"/>
      <c r="AD93" s="1724"/>
      <c r="AE93" s="1724"/>
      <c r="AF93" s="1724"/>
      <c r="AG93" s="1724"/>
      <c r="AH93" s="1724"/>
      <c r="AI93" s="1724"/>
      <c r="AJ93" s="1752"/>
      <c r="AK93" s="1752"/>
      <c r="AL93" s="1752"/>
      <c r="AM93" s="1752"/>
      <c r="AN93" s="1752"/>
      <c r="AO93" s="1752"/>
      <c r="AP93" s="1752"/>
      <c r="AQ93" s="1752"/>
      <c r="AR93" s="1706"/>
      <c r="AS93" s="1706"/>
      <c r="AT93" s="1706"/>
      <c r="AU93" s="1706"/>
      <c r="AV93" s="1706"/>
      <c r="AW93" s="1706"/>
      <c r="AX93" s="1706"/>
      <c r="AY93" s="1706"/>
      <c r="AZ93" s="1706"/>
      <c r="BA93" s="1706"/>
      <c r="BB93" s="1706"/>
      <c r="BC93" s="1706"/>
      <c r="BD93" s="1706"/>
      <c r="BE93" s="1706"/>
      <c r="BF93" s="1706"/>
      <c r="BG93" s="1706"/>
      <c r="BH93" s="1706"/>
      <c r="BI93" s="1706"/>
      <c r="BJ93" s="1706"/>
      <c r="BK93" s="1706"/>
      <c r="BL93" s="1706"/>
      <c r="BM93" s="1706"/>
      <c r="BN93" s="1706"/>
      <c r="BO93" s="1706"/>
      <c r="BP93" s="1706"/>
      <c r="BQ93" s="1706"/>
      <c r="BR93" s="1706"/>
      <c r="BS93" s="1706"/>
      <c r="BT93" s="1706"/>
      <c r="BU93" s="1706"/>
      <c r="BV93" s="1706"/>
      <c r="BW93" s="1706"/>
      <c r="BX93" s="1706"/>
      <c r="BY93" s="1706"/>
      <c r="BZ93" s="1706"/>
      <c r="CA93" s="1706"/>
      <c r="CB93" s="1706"/>
      <c r="CC93" s="1706"/>
      <c r="CD93" s="1706"/>
      <c r="CE93" s="1706"/>
      <c r="CF93" s="1706"/>
      <c r="CG93" s="1706"/>
      <c r="CH93" s="1706"/>
      <c r="CI93" s="1706"/>
    </row>
    <row r="94" spans="1:88" s="249" customFormat="1" ht="45.95" customHeight="1">
      <c r="A94" s="1238"/>
      <c r="B94" s="1277">
        <f>'№5.1Демонтаж БУ'!B56</f>
        <v>0</v>
      </c>
      <c r="C94" s="1737" t="s">
        <v>774</v>
      </c>
      <c r="D94" s="1724"/>
      <c r="E94" s="1724"/>
      <c r="F94" s="1741">
        <v>1</v>
      </c>
      <c r="G94" s="1741">
        <v>1</v>
      </c>
      <c r="H94" s="1741">
        <v>1</v>
      </c>
      <c r="I94" s="1741">
        <v>1</v>
      </c>
      <c r="J94" s="1741">
        <v>1</v>
      </c>
      <c r="K94" s="1741">
        <v>1</v>
      </c>
      <c r="L94" s="1741">
        <v>1</v>
      </c>
      <c r="M94" s="1741">
        <v>1</v>
      </c>
      <c r="N94" s="1741">
        <v>1</v>
      </c>
      <c r="O94" s="1741">
        <v>1</v>
      </c>
      <c r="P94" s="1741">
        <v>1</v>
      </c>
      <c r="Q94" s="1741">
        <v>1</v>
      </c>
      <c r="R94" s="1741">
        <v>1</v>
      </c>
      <c r="S94" s="1741"/>
      <c r="T94" s="1741"/>
      <c r="U94" s="1760"/>
      <c r="V94" s="1760"/>
      <c r="W94" s="1741"/>
      <c r="X94" s="1741"/>
      <c r="Y94" s="1741"/>
      <c r="Z94" s="1741"/>
      <c r="AA94" s="1741"/>
      <c r="AB94" s="1724"/>
      <c r="AC94" s="1724"/>
      <c r="AD94" s="1724"/>
      <c r="AE94" s="1724"/>
      <c r="AF94" s="1724"/>
      <c r="AG94" s="1724"/>
      <c r="AH94" s="1724"/>
      <c r="AI94" s="1724"/>
      <c r="AJ94" s="1752"/>
      <c r="AK94" s="1752"/>
      <c r="AL94" s="1752"/>
      <c r="AM94" s="1752"/>
      <c r="AN94" s="1752"/>
      <c r="AO94" s="1752"/>
      <c r="AP94" s="1752"/>
      <c r="AQ94" s="1752"/>
      <c r="AR94" s="1706"/>
      <c r="AS94" s="1706"/>
      <c r="AT94" s="1706"/>
      <c r="AU94" s="1706"/>
      <c r="AV94" s="1706"/>
      <c r="AW94" s="1706"/>
      <c r="AX94" s="1706"/>
      <c r="AY94" s="1706"/>
      <c r="AZ94" s="1706"/>
      <c r="BA94" s="1706"/>
      <c r="BB94" s="1706"/>
      <c r="BC94" s="1706"/>
      <c r="BD94" s="1706"/>
      <c r="BE94" s="1706"/>
      <c r="BF94" s="1706"/>
      <c r="BG94" s="1706"/>
      <c r="BH94" s="1706"/>
      <c r="BI94" s="1706"/>
      <c r="BJ94" s="1706"/>
      <c r="BK94" s="1706"/>
      <c r="BL94" s="1706"/>
      <c r="BM94" s="1706"/>
      <c r="BN94" s="1706"/>
      <c r="BO94" s="1706"/>
      <c r="BP94" s="1706"/>
      <c r="BQ94" s="1706"/>
      <c r="BR94" s="1706"/>
      <c r="BS94" s="1706"/>
      <c r="BT94" s="1706"/>
      <c r="BU94" s="1706"/>
      <c r="BV94" s="1706"/>
      <c r="BW94" s="1706"/>
      <c r="BX94" s="1706"/>
      <c r="BY94" s="1706"/>
      <c r="BZ94" s="1706"/>
      <c r="CA94" s="1706"/>
      <c r="CB94" s="1706"/>
      <c r="CC94" s="1706"/>
      <c r="CD94" s="1706"/>
      <c r="CE94" s="1706"/>
      <c r="CF94" s="1706"/>
      <c r="CG94" s="1706"/>
      <c r="CH94" s="1706"/>
      <c r="CI94" s="1706"/>
    </row>
    <row r="95" spans="1:88" s="249" customFormat="1" ht="45.95" customHeight="1">
      <c r="A95" s="1238"/>
      <c r="B95" s="1277">
        <f>'№5.1Демонтаж БУ'!B22</f>
        <v>0</v>
      </c>
      <c r="C95" s="1737" t="s">
        <v>774</v>
      </c>
      <c r="D95" s="1724"/>
      <c r="E95" s="1724"/>
      <c r="F95" s="1741">
        <v>1</v>
      </c>
      <c r="G95" s="1741">
        <v>1</v>
      </c>
      <c r="H95" s="1741">
        <v>1</v>
      </c>
      <c r="I95" s="1741">
        <v>1</v>
      </c>
      <c r="J95" s="1741">
        <v>1</v>
      </c>
      <c r="K95" s="1741">
        <v>1</v>
      </c>
      <c r="L95" s="1741">
        <v>1</v>
      </c>
      <c r="M95" s="1741">
        <v>1</v>
      </c>
      <c r="N95" s="1741">
        <v>1</v>
      </c>
      <c r="O95" s="1741">
        <v>1</v>
      </c>
      <c r="P95" s="1741">
        <v>1</v>
      </c>
      <c r="Q95" s="1741">
        <v>1</v>
      </c>
      <c r="R95" s="1741">
        <v>1</v>
      </c>
      <c r="S95" s="1741"/>
      <c r="T95" s="1741"/>
      <c r="U95" s="1760"/>
      <c r="V95" s="1760"/>
      <c r="W95" s="1741"/>
      <c r="X95" s="1741"/>
      <c r="Y95" s="1741"/>
      <c r="Z95" s="1741"/>
      <c r="AA95" s="1741"/>
      <c r="AB95" s="1724"/>
      <c r="AC95" s="1724"/>
      <c r="AD95" s="1724"/>
      <c r="AE95" s="1724"/>
      <c r="AF95" s="1724"/>
      <c r="AG95" s="1724"/>
      <c r="AH95" s="1724"/>
      <c r="AI95" s="1724"/>
      <c r="AJ95" s="1752"/>
      <c r="AK95" s="1752"/>
      <c r="AL95" s="1752"/>
      <c r="AM95" s="1752"/>
      <c r="AN95" s="1752"/>
      <c r="AO95" s="1752"/>
      <c r="AP95" s="1752"/>
      <c r="AQ95" s="1752"/>
      <c r="AR95" s="1706"/>
      <c r="AS95" s="1706"/>
      <c r="AT95" s="1706"/>
      <c r="AU95" s="1706"/>
      <c r="AV95" s="1706"/>
      <c r="AW95" s="1706"/>
      <c r="AX95" s="1706"/>
      <c r="AY95" s="1706"/>
      <c r="AZ95" s="1706"/>
      <c r="BA95" s="1706"/>
      <c r="BB95" s="1706"/>
      <c r="BC95" s="1706"/>
      <c r="BD95" s="1706"/>
      <c r="BE95" s="1706"/>
      <c r="BF95" s="1706"/>
      <c r="BG95" s="1706"/>
      <c r="BH95" s="1706"/>
      <c r="BI95" s="1706"/>
      <c r="BJ95" s="1706"/>
      <c r="BK95" s="1706"/>
      <c r="BL95" s="1706"/>
      <c r="BM95" s="1706"/>
      <c r="BN95" s="1706"/>
      <c r="BO95" s="1706"/>
      <c r="BP95" s="1706"/>
      <c r="BQ95" s="1706"/>
      <c r="BR95" s="1706"/>
      <c r="BS95" s="1706"/>
      <c r="BT95" s="1706"/>
      <c r="BU95" s="1706"/>
      <c r="BV95" s="1706"/>
      <c r="BW95" s="1706"/>
      <c r="BX95" s="1706"/>
      <c r="BY95" s="1706"/>
      <c r="BZ95" s="1706"/>
      <c r="CA95" s="1706"/>
      <c r="CB95" s="1706"/>
      <c r="CC95" s="1706"/>
      <c r="CD95" s="1706"/>
      <c r="CE95" s="1706"/>
      <c r="CF95" s="1706"/>
      <c r="CG95" s="1706"/>
      <c r="CH95" s="1706"/>
      <c r="CI95" s="1706"/>
    </row>
    <row r="96" spans="1:88" s="249" customFormat="1" ht="45.95" customHeight="1">
      <c r="A96" s="1238"/>
      <c r="B96" s="1277">
        <f>'№5.1Демонтаж БУ'!B23</f>
        <v>0</v>
      </c>
      <c r="C96" s="1737" t="s">
        <v>774</v>
      </c>
      <c r="D96" s="1724"/>
      <c r="E96" s="1724"/>
      <c r="F96" s="1741">
        <v>1</v>
      </c>
      <c r="G96" s="1741">
        <v>1</v>
      </c>
      <c r="H96" s="1741">
        <v>1</v>
      </c>
      <c r="I96" s="1741">
        <v>1</v>
      </c>
      <c r="J96" s="1741">
        <v>1</v>
      </c>
      <c r="K96" s="1741">
        <v>1</v>
      </c>
      <c r="L96" s="1741">
        <v>1</v>
      </c>
      <c r="M96" s="1741">
        <v>1</v>
      </c>
      <c r="N96" s="1741">
        <v>1</v>
      </c>
      <c r="O96" s="1741">
        <v>1</v>
      </c>
      <c r="P96" s="1741">
        <v>1</v>
      </c>
      <c r="Q96" s="1741">
        <v>1</v>
      </c>
      <c r="R96" s="1741">
        <v>1</v>
      </c>
      <c r="S96" s="1741"/>
      <c r="T96" s="1741"/>
      <c r="U96" s="1760"/>
      <c r="V96" s="1760"/>
      <c r="W96" s="1741"/>
      <c r="X96" s="1741"/>
      <c r="Y96" s="1741"/>
      <c r="Z96" s="1741"/>
      <c r="AA96" s="1741"/>
      <c r="AB96" s="1724"/>
      <c r="AC96" s="1724"/>
      <c r="AD96" s="1724"/>
      <c r="AE96" s="1724"/>
      <c r="AF96" s="1724"/>
      <c r="AG96" s="1724"/>
      <c r="AH96" s="1724"/>
      <c r="AI96" s="1724"/>
      <c r="AJ96" s="1752"/>
      <c r="AK96" s="1752"/>
      <c r="AL96" s="1752"/>
      <c r="AM96" s="1752"/>
      <c r="AN96" s="1752"/>
      <c r="AO96" s="1752"/>
      <c r="AP96" s="1752"/>
      <c r="AQ96" s="1752"/>
      <c r="AR96" s="1706"/>
      <c r="AS96" s="1706"/>
      <c r="AT96" s="1706"/>
      <c r="AU96" s="1706"/>
      <c r="AV96" s="1706"/>
      <c r="AW96" s="1706"/>
      <c r="AX96" s="1706"/>
      <c r="AY96" s="1706"/>
      <c r="AZ96" s="1706"/>
      <c r="BA96" s="1706"/>
      <c r="BB96" s="1706"/>
      <c r="BC96" s="1706"/>
      <c r="BD96" s="1706"/>
      <c r="BE96" s="1706"/>
      <c r="BF96" s="1706"/>
      <c r="BG96" s="1706"/>
      <c r="BH96" s="1706"/>
      <c r="BI96" s="1706"/>
      <c r="BJ96" s="1706"/>
      <c r="BK96" s="1706"/>
      <c r="BL96" s="1706"/>
      <c r="BM96" s="1706"/>
      <c r="BN96" s="1706"/>
      <c r="BO96" s="1706"/>
      <c r="BP96" s="1706"/>
      <c r="BQ96" s="1706"/>
      <c r="BR96" s="1706"/>
      <c r="BS96" s="1706"/>
      <c r="BT96" s="1706"/>
      <c r="BU96" s="1706"/>
      <c r="BV96" s="1706"/>
      <c r="BW96" s="1706"/>
      <c r="BX96" s="1706"/>
      <c r="BY96" s="1706"/>
      <c r="BZ96" s="1706"/>
      <c r="CA96" s="1706"/>
      <c r="CB96" s="1706"/>
      <c r="CC96" s="1706"/>
      <c r="CD96" s="1706"/>
      <c r="CE96" s="1706"/>
      <c r="CF96" s="1706"/>
      <c r="CG96" s="1706"/>
      <c r="CH96" s="1706"/>
      <c r="CI96" s="1706"/>
    </row>
    <row r="97" spans="1:87" s="249" customFormat="1" ht="45.95" customHeight="1">
      <c r="A97" s="1706"/>
      <c r="C97" s="1706"/>
      <c r="D97" s="1706"/>
      <c r="E97" s="1706"/>
      <c r="F97" s="1706"/>
      <c r="G97" s="1706"/>
      <c r="H97" s="1706"/>
      <c r="I97" s="1706"/>
      <c r="J97" s="1706"/>
      <c r="K97" s="1706"/>
      <c r="L97" s="1706"/>
      <c r="M97" s="1706"/>
      <c r="N97" s="1706"/>
      <c r="O97" s="1706"/>
      <c r="P97" s="1706"/>
      <c r="Q97" s="1758"/>
      <c r="R97" s="1758"/>
      <c r="S97" s="1758"/>
      <c r="T97" s="1758"/>
      <c r="U97" s="1706"/>
      <c r="V97" s="1706"/>
      <c r="W97" s="1758"/>
      <c r="X97" s="1758"/>
      <c r="Y97" s="1758"/>
      <c r="Z97" s="1706"/>
      <c r="AA97" s="1706"/>
      <c r="AB97" s="1706"/>
      <c r="AC97" s="1706"/>
      <c r="AD97" s="1706"/>
      <c r="AE97" s="1706"/>
      <c r="AF97" s="1758"/>
      <c r="AG97" s="1706"/>
      <c r="AH97" s="1706"/>
      <c r="AI97" s="1706"/>
      <c r="AJ97" s="1706"/>
      <c r="AK97" s="1706"/>
      <c r="AL97" s="1706"/>
      <c r="AM97" s="1706"/>
      <c r="AN97" s="1706"/>
      <c r="AO97" s="1706"/>
      <c r="AP97" s="1706"/>
      <c r="AQ97" s="1706"/>
      <c r="AR97" s="1706"/>
      <c r="AS97" s="1706"/>
      <c r="AT97" s="1706"/>
      <c r="AU97" s="1706"/>
      <c r="AV97" s="1706"/>
      <c r="AW97" s="1706"/>
      <c r="AX97" s="1706"/>
      <c r="AY97" s="1706"/>
      <c r="AZ97" s="1706"/>
      <c r="BA97" s="1706"/>
      <c r="BB97" s="1706"/>
      <c r="BC97" s="1706"/>
      <c r="BD97" s="1706"/>
      <c r="BE97" s="1706"/>
      <c r="BF97" s="1706"/>
      <c r="BG97" s="1706"/>
      <c r="BH97" s="1706"/>
      <c r="BI97" s="1706"/>
      <c r="BJ97" s="1706"/>
      <c r="BK97" s="1706"/>
      <c r="BL97" s="1706"/>
      <c r="BM97" s="1706"/>
      <c r="BN97" s="1706"/>
      <c r="BO97" s="1706"/>
      <c r="BP97" s="1706"/>
      <c r="BQ97" s="1706"/>
      <c r="BR97" s="1706"/>
      <c r="BS97" s="1706"/>
      <c r="BT97" s="1706"/>
      <c r="BU97" s="1706"/>
      <c r="BV97" s="1706"/>
      <c r="BW97" s="1706"/>
      <c r="BX97" s="1706"/>
      <c r="BY97" s="1706"/>
      <c r="BZ97" s="1706"/>
      <c r="CA97" s="1706"/>
      <c r="CB97" s="1706"/>
      <c r="CC97" s="1706"/>
      <c r="CD97" s="1706"/>
      <c r="CE97" s="1706"/>
      <c r="CF97" s="1706"/>
      <c r="CG97" s="1706"/>
      <c r="CH97" s="1706"/>
      <c r="CI97" s="1706"/>
    </row>
    <row r="98" spans="1:87" s="249" customFormat="1" ht="45.95" customHeight="1">
      <c r="A98" s="1706"/>
      <c r="C98" s="1706"/>
      <c r="D98" s="1706"/>
      <c r="E98" s="1706"/>
      <c r="F98" s="1706"/>
      <c r="G98" s="1706"/>
      <c r="H98" s="1706"/>
      <c r="I98" s="1706"/>
      <c r="J98" s="1706"/>
      <c r="K98" s="1706"/>
      <c r="L98" s="1706"/>
      <c r="M98" s="1706"/>
      <c r="N98" s="1706"/>
      <c r="O98" s="1706"/>
      <c r="P98" s="1706"/>
      <c r="Q98" s="1758"/>
      <c r="R98" s="1758"/>
      <c r="S98" s="1758"/>
      <c r="T98" s="1758"/>
      <c r="U98" s="1706"/>
      <c r="V98" s="1706"/>
      <c r="W98" s="1758"/>
      <c r="X98" s="1758"/>
      <c r="Y98" s="1758"/>
      <c r="Z98" s="1706"/>
      <c r="AA98" s="1706"/>
      <c r="AB98" s="1706"/>
      <c r="AC98" s="1706"/>
      <c r="AD98" s="1706"/>
      <c r="AE98" s="1706"/>
      <c r="AF98" s="1758"/>
      <c r="AG98" s="1706"/>
      <c r="AH98" s="1706"/>
      <c r="AI98" s="1706"/>
      <c r="AJ98" s="1706"/>
      <c r="AK98" s="1706"/>
      <c r="AL98" s="1706"/>
      <c r="AM98" s="1706"/>
      <c r="AN98" s="1706"/>
      <c r="AO98" s="1706"/>
      <c r="AP98" s="1706"/>
      <c r="AQ98" s="1706"/>
      <c r="AR98" s="1706"/>
      <c r="AS98" s="1706"/>
      <c r="AT98" s="1706"/>
      <c r="AU98" s="1706"/>
      <c r="AV98" s="1706"/>
      <c r="AW98" s="1706"/>
      <c r="AX98" s="1706"/>
      <c r="AY98" s="1706"/>
      <c r="AZ98" s="1706"/>
      <c r="BA98" s="1706"/>
      <c r="BB98" s="1706"/>
      <c r="BC98" s="1706"/>
      <c r="BD98" s="1706"/>
      <c r="BE98" s="1706"/>
      <c r="BF98" s="1706"/>
      <c r="BG98" s="1706"/>
      <c r="BH98" s="1706"/>
      <c r="BI98" s="1706"/>
      <c r="BJ98" s="1706"/>
      <c r="BK98" s="1706"/>
      <c r="BL98" s="1706"/>
      <c r="BM98" s="1706"/>
      <c r="BN98" s="1706"/>
      <c r="BO98" s="1706"/>
      <c r="BP98" s="1706"/>
      <c r="BQ98" s="1706"/>
      <c r="BR98" s="1706"/>
      <c r="BS98" s="1706"/>
      <c r="BT98" s="1706"/>
      <c r="BU98" s="1706"/>
      <c r="BV98" s="1706"/>
      <c r="BW98" s="1706"/>
      <c r="BX98" s="1706"/>
      <c r="BY98" s="1706"/>
      <c r="BZ98" s="1706"/>
      <c r="CA98" s="1706"/>
      <c r="CB98" s="1706"/>
      <c r="CC98" s="1706"/>
      <c r="CD98" s="1706"/>
      <c r="CE98" s="1706"/>
      <c r="CF98" s="1706"/>
      <c r="CG98" s="1706"/>
      <c r="CH98" s="1706"/>
      <c r="CI98" s="1706"/>
    </row>
    <row r="99" spans="1:87" s="249" customFormat="1" ht="45.95" customHeight="1">
      <c r="A99" s="1706"/>
      <c r="C99" s="1706"/>
      <c r="D99" s="1706"/>
      <c r="E99" s="1706"/>
      <c r="F99" s="1706"/>
      <c r="G99" s="1706"/>
      <c r="H99" s="1706"/>
      <c r="I99" s="1706"/>
      <c r="J99" s="1706"/>
      <c r="K99" s="1706"/>
      <c r="L99" s="1706"/>
      <c r="M99" s="1706"/>
      <c r="N99" s="1706"/>
      <c r="O99" s="1706"/>
      <c r="P99" s="1706"/>
      <c r="Q99" s="1758"/>
      <c r="R99" s="1758"/>
      <c r="S99" s="1758"/>
      <c r="T99" s="1758"/>
      <c r="U99" s="1706"/>
      <c r="V99" s="1706"/>
      <c r="W99" s="1758"/>
      <c r="X99" s="1758"/>
      <c r="Y99" s="1758"/>
      <c r="Z99" s="1706"/>
      <c r="AA99" s="1706"/>
      <c r="AB99" s="1706"/>
      <c r="AC99" s="1706"/>
      <c r="AD99" s="1706"/>
      <c r="AE99" s="1706"/>
      <c r="AF99" s="1758"/>
      <c r="AG99" s="1706"/>
      <c r="AH99" s="1706"/>
      <c r="AI99" s="1706"/>
      <c r="AJ99" s="1706"/>
      <c r="AK99" s="1706"/>
      <c r="AL99" s="1706"/>
      <c r="AM99" s="1706"/>
      <c r="AN99" s="1706"/>
      <c r="AO99" s="1706"/>
      <c r="AP99" s="1706"/>
      <c r="AQ99" s="1706"/>
      <c r="AR99" s="1706"/>
      <c r="AS99" s="1706"/>
      <c r="AT99" s="1706"/>
      <c r="AU99" s="1706"/>
      <c r="AV99" s="1706"/>
      <c r="AW99" s="1706"/>
      <c r="AX99" s="1706"/>
      <c r="AY99" s="1706"/>
      <c r="AZ99" s="1706"/>
      <c r="BA99" s="1706"/>
      <c r="BB99" s="1706"/>
      <c r="BC99" s="1706"/>
      <c r="BD99" s="1706"/>
      <c r="BE99" s="1706"/>
      <c r="BF99" s="1706"/>
      <c r="BG99" s="1706"/>
      <c r="BH99" s="1706"/>
      <c r="BI99" s="1706"/>
      <c r="BJ99" s="1706"/>
      <c r="BK99" s="1706"/>
      <c r="BL99" s="1706"/>
      <c r="BM99" s="1706"/>
      <c r="BN99" s="1706"/>
      <c r="BO99" s="1706"/>
      <c r="BP99" s="1706"/>
      <c r="BQ99" s="1706"/>
      <c r="BR99" s="1706"/>
      <c r="BS99" s="1706"/>
      <c r="BT99" s="1706"/>
      <c r="BU99" s="1706"/>
      <c r="BV99" s="1706"/>
      <c r="BW99" s="1706"/>
      <c r="BX99" s="1706"/>
      <c r="BY99" s="1706"/>
      <c r="BZ99" s="1706"/>
      <c r="CA99" s="1706"/>
      <c r="CB99" s="1706"/>
      <c r="CC99" s="1706"/>
      <c r="CD99" s="1706"/>
      <c r="CE99" s="1706"/>
      <c r="CF99" s="1706"/>
      <c r="CG99" s="1706"/>
      <c r="CH99" s="1706"/>
      <c r="CI99" s="1706"/>
    </row>
    <row r="100" spans="1:87" s="249" customFormat="1" ht="45.95" customHeight="1">
      <c r="A100" s="1706"/>
      <c r="C100" s="1706"/>
      <c r="D100" s="1706"/>
      <c r="E100" s="1706"/>
      <c r="F100" s="1706"/>
      <c r="G100" s="1706"/>
      <c r="H100" s="1706"/>
      <c r="I100" s="1706"/>
      <c r="J100" s="1706"/>
      <c r="K100" s="1706"/>
      <c r="L100" s="1706"/>
      <c r="M100" s="1706"/>
      <c r="N100" s="1706"/>
      <c r="O100" s="1706"/>
      <c r="P100" s="1706"/>
      <c r="Q100" s="1758"/>
      <c r="R100" s="1758"/>
      <c r="S100" s="1758"/>
      <c r="T100" s="1758"/>
      <c r="U100" s="1706"/>
      <c r="V100" s="1706"/>
      <c r="W100" s="1758"/>
      <c r="X100" s="1758"/>
      <c r="Y100" s="1758"/>
      <c r="Z100" s="1706"/>
      <c r="AA100" s="1706"/>
      <c r="AB100" s="1706"/>
      <c r="AC100" s="1706"/>
      <c r="AD100" s="1706"/>
      <c r="AE100" s="1706"/>
      <c r="AF100" s="1758"/>
      <c r="AG100" s="1706"/>
      <c r="AH100" s="1706"/>
      <c r="AI100" s="1706"/>
      <c r="AJ100" s="1706"/>
      <c r="AK100" s="1706"/>
      <c r="AL100" s="1706"/>
      <c r="AM100" s="1706"/>
      <c r="AN100" s="1706"/>
      <c r="AO100" s="1706"/>
      <c r="AP100" s="1706"/>
      <c r="AQ100" s="1706"/>
      <c r="AR100" s="1706"/>
      <c r="AS100" s="1706"/>
      <c r="AT100" s="1706"/>
      <c r="AU100" s="1706"/>
      <c r="AV100" s="1706"/>
      <c r="AW100" s="1706"/>
      <c r="AX100" s="1706"/>
      <c r="AY100" s="1706"/>
      <c r="AZ100" s="1706"/>
      <c r="BA100" s="1706"/>
      <c r="BB100" s="1706"/>
      <c r="BC100" s="1706"/>
      <c r="BD100" s="1706"/>
      <c r="BE100" s="1706"/>
      <c r="BF100" s="1706"/>
      <c r="BG100" s="1706"/>
      <c r="BH100" s="1706"/>
      <c r="BI100" s="1706"/>
      <c r="BJ100" s="1706"/>
      <c r="BK100" s="1706"/>
      <c r="BL100" s="1706"/>
      <c r="BM100" s="1706"/>
      <c r="BN100" s="1706"/>
      <c r="BO100" s="1706"/>
      <c r="BP100" s="1706"/>
      <c r="BQ100" s="1706"/>
      <c r="BR100" s="1706"/>
      <c r="BS100" s="1706"/>
      <c r="BT100" s="1706"/>
      <c r="BU100" s="1706"/>
      <c r="BV100" s="1706"/>
      <c r="BW100" s="1706"/>
      <c r="BX100" s="1706"/>
      <c r="BY100" s="1706"/>
      <c r="BZ100" s="1706"/>
      <c r="CA100" s="1706"/>
      <c r="CB100" s="1706"/>
      <c r="CC100" s="1706"/>
      <c r="CD100" s="1706"/>
      <c r="CE100" s="1706"/>
      <c r="CF100" s="1706"/>
      <c r="CG100" s="1706"/>
      <c r="CH100" s="1706"/>
      <c r="CI100" s="1706"/>
    </row>
    <row r="101" spans="1:87" s="249" customFormat="1" ht="45.95" customHeight="1">
      <c r="A101" s="1706"/>
      <c r="C101" s="1706"/>
      <c r="D101" s="1706"/>
      <c r="E101" s="1706"/>
      <c r="F101" s="1706"/>
      <c r="G101" s="1706"/>
      <c r="H101" s="1706"/>
      <c r="I101" s="1706"/>
      <c r="J101" s="1706"/>
      <c r="K101" s="1706"/>
      <c r="L101" s="1706"/>
      <c r="M101" s="1706"/>
      <c r="N101" s="1706"/>
      <c r="O101" s="1706"/>
      <c r="P101" s="1706"/>
      <c r="Q101" s="1758"/>
      <c r="R101" s="1758"/>
      <c r="S101" s="1758"/>
      <c r="T101" s="1758"/>
      <c r="U101" s="1706"/>
      <c r="V101" s="1706"/>
      <c r="W101" s="1758"/>
      <c r="X101" s="1758"/>
      <c r="Y101" s="1758"/>
      <c r="Z101" s="1706"/>
      <c r="AA101" s="1706"/>
      <c r="AB101" s="1706"/>
      <c r="AC101" s="1706"/>
      <c r="AD101" s="1706"/>
      <c r="AE101" s="1706"/>
      <c r="AF101" s="1758"/>
      <c r="AG101" s="1706"/>
      <c r="AH101" s="1706"/>
      <c r="AI101" s="1706"/>
      <c r="AJ101" s="1706"/>
      <c r="AK101" s="1706"/>
      <c r="AL101" s="1706"/>
      <c r="AM101" s="1706"/>
      <c r="AN101" s="1706"/>
      <c r="AO101" s="1706"/>
      <c r="AP101" s="1706"/>
      <c r="AQ101" s="1706"/>
      <c r="AR101" s="1706"/>
      <c r="AS101" s="1706"/>
      <c r="AT101" s="1706"/>
      <c r="AU101" s="1706"/>
      <c r="AV101" s="1706"/>
      <c r="AW101" s="1706"/>
      <c r="AX101" s="1706"/>
      <c r="AY101" s="1706"/>
      <c r="AZ101" s="1706"/>
      <c r="BA101" s="1706"/>
      <c r="BB101" s="1706"/>
      <c r="BC101" s="1706"/>
      <c r="BD101" s="1706"/>
      <c r="BE101" s="1706"/>
      <c r="BF101" s="1706"/>
      <c r="BG101" s="1706"/>
      <c r="BH101" s="1706"/>
      <c r="BI101" s="1706"/>
      <c r="BJ101" s="1706"/>
      <c r="BK101" s="1706"/>
      <c r="BL101" s="1706"/>
      <c r="BM101" s="1706"/>
      <c r="BN101" s="1706"/>
      <c r="BO101" s="1706"/>
      <c r="BP101" s="1706"/>
      <c r="BQ101" s="1706"/>
      <c r="BR101" s="1706"/>
      <c r="BS101" s="1706"/>
      <c r="BT101" s="1706"/>
      <c r="BU101" s="1706"/>
      <c r="BV101" s="1706"/>
      <c r="BW101" s="1706"/>
      <c r="BX101" s="1706"/>
      <c r="BY101" s="1706"/>
      <c r="BZ101" s="1706"/>
      <c r="CA101" s="1706"/>
      <c r="CB101" s="1706"/>
      <c r="CC101" s="1706"/>
      <c r="CD101" s="1706"/>
      <c r="CE101" s="1706"/>
      <c r="CF101" s="1706"/>
      <c r="CG101" s="1706"/>
      <c r="CH101" s="1706"/>
      <c r="CI101" s="1706"/>
    </row>
    <row r="102" spans="1:87" s="249" customFormat="1" ht="45.95" customHeight="1">
      <c r="A102" s="1706"/>
      <c r="C102" s="1706"/>
      <c r="D102" s="1706"/>
      <c r="E102" s="1706"/>
      <c r="F102" s="1706"/>
      <c r="G102" s="1706"/>
      <c r="H102" s="1706"/>
      <c r="I102" s="1706"/>
      <c r="J102" s="1706"/>
      <c r="K102" s="1706"/>
      <c r="L102" s="1706"/>
      <c r="M102" s="1706"/>
      <c r="N102" s="1706"/>
      <c r="O102" s="1706"/>
      <c r="P102" s="1706"/>
      <c r="Q102" s="1758"/>
      <c r="R102" s="1758"/>
      <c r="S102" s="1758"/>
      <c r="T102" s="1758"/>
      <c r="U102" s="1706"/>
      <c r="V102" s="1706"/>
      <c r="W102" s="1758"/>
      <c r="X102" s="1758"/>
      <c r="Y102" s="1758"/>
      <c r="Z102" s="1706"/>
      <c r="AA102" s="1706"/>
      <c r="AB102" s="1706"/>
      <c r="AC102" s="1706"/>
      <c r="AD102" s="1706"/>
      <c r="AE102" s="1706"/>
      <c r="AF102" s="1758"/>
      <c r="AG102" s="1706"/>
      <c r="AH102" s="1706"/>
      <c r="AI102" s="1706"/>
      <c r="AJ102" s="1706"/>
      <c r="AK102" s="1706"/>
      <c r="AL102" s="1706"/>
      <c r="AM102" s="1706"/>
      <c r="AN102" s="1706"/>
      <c r="AO102" s="1706"/>
      <c r="AP102" s="1706"/>
      <c r="AQ102" s="1706"/>
      <c r="AR102" s="1706"/>
      <c r="AS102" s="1706"/>
      <c r="AT102" s="1706"/>
      <c r="AU102" s="1706"/>
      <c r="AV102" s="1706"/>
      <c r="AW102" s="1706"/>
      <c r="AX102" s="1706"/>
      <c r="AY102" s="1706"/>
      <c r="AZ102" s="1706"/>
      <c r="BA102" s="1706"/>
      <c r="BB102" s="1706"/>
      <c r="BC102" s="1706"/>
      <c r="BD102" s="1706"/>
      <c r="BE102" s="1706"/>
      <c r="BF102" s="1706"/>
      <c r="BG102" s="1706"/>
      <c r="BH102" s="1706"/>
      <c r="BI102" s="1706"/>
      <c r="BJ102" s="1706"/>
      <c r="BK102" s="1706"/>
      <c r="BL102" s="1706"/>
      <c r="BM102" s="1706"/>
      <c r="BN102" s="1706"/>
      <c r="BO102" s="1706"/>
      <c r="BP102" s="1706"/>
      <c r="BQ102" s="1706"/>
      <c r="BR102" s="1706"/>
      <c r="BS102" s="1706"/>
      <c r="BT102" s="1706"/>
      <c r="BU102" s="1706"/>
      <c r="BV102" s="1706"/>
      <c r="BW102" s="1706"/>
      <c r="BX102" s="1706"/>
      <c r="BY102" s="1706"/>
      <c r="BZ102" s="1706"/>
      <c r="CA102" s="1706"/>
      <c r="CB102" s="1706"/>
      <c r="CC102" s="1706"/>
      <c r="CD102" s="1706"/>
      <c r="CE102" s="1706"/>
      <c r="CF102" s="1706"/>
      <c r="CG102" s="1706"/>
      <c r="CH102" s="1706"/>
      <c r="CI102" s="1706"/>
    </row>
    <row r="103" spans="1:87" s="249" customFormat="1" ht="45.95" customHeight="1">
      <c r="A103" s="1706"/>
      <c r="C103" s="1706"/>
      <c r="D103" s="1706"/>
      <c r="E103" s="1706"/>
      <c r="F103" s="1706"/>
      <c r="G103" s="1706"/>
      <c r="H103" s="1706"/>
      <c r="I103" s="1706"/>
      <c r="J103" s="1706"/>
      <c r="K103" s="1706"/>
      <c r="L103" s="1706"/>
      <c r="M103" s="1706"/>
      <c r="N103" s="1706"/>
      <c r="O103" s="1706"/>
      <c r="P103" s="1706"/>
      <c r="Q103" s="1758"/>
      <c r="R103" s="1758"/>
      <c r="S103" s="1758"/>
      <c r="T103" s="1758"/>
      <c r="U103" s="1706"/>
      <c r="V103" s="1706"/>
      <c r="W103" s="1758"/>
      <c r="X103" s="1758"/>
      <c r="Y103" s="1758"/>
      <c r="Z103" s="1706"/>
      <c r="AA103" s="1706"/>
      <c r="AB103" s="1706"/>
      <c r="AC103" s="1706"/>
      <c r="AD103" s="1706"/>
      <c r="AE103" s="1706"/>
      <c r="AF103" s="1758"/>
      <c r="AG103" s="1706"/>
      <c r="AH103" s="1706"/>
      <c r="AI103" s="1706"/>
      <c r="AJ103" s="1706"/>
      <c r="AK103" s="1706"/>
      <c r="AL103" s="1706"/>
      <c r="AM103" s="1706"/>
      <c r="AN103" s="1706"/>
      <c r="AO103" s="1706"/>
      <c r="AP103" s="1706"/>
      <c r="AQ103" s="1706"/>
      <c r="AR103" s="1706"/>
      <c r="AS103" s="1706"/>
      <c r="AT103" s="1706"/>
      <c r="AU103" s="1706"/>
      <c r="AV103" s="1706"/>
      <c r="AW103" s="1706"/>
      <c r="AX103" s="1706"/>
      <c r="AY103" s="1706"/>
      <c r="AZ103" s="1706"/>
      <c r="BA103" s="1706"/>
      <c r="BB103" s="1706"/>
      <c r="BC103" s="1706"/>
      <c r="BD103" s="1706"/>
      <c r="BE103" s="1706"/>
      <c r="BF103" s="1706"/>
      <c r="BG103" s="1706"/>
      <c r="BH103" s="1706"/>
      <c r="BI103" s="1706"/>
      <c r="BJ103" s="1706"/>
      <c r="BK103" s="1706"/>
      <c r="BL103" s="1706"/>
      <c r="BM103" s="1706"/>
      <c r="BN103" s="1706"/>
      <c r="BO103" s="1706"/>
      <c r="BP103" s="1706"/>
      <c r="BQ103" s="1706"/>
      <c r="BR103" s="1706"/>
      <c r="BS103" s="1706"/>
      <c r="BT103" s="1706"/>
      <c r="BU103" s="1706"/>
      <c r="BV103" s="1706"/>
      <c r="BW103" s="1706"/>
      <c r="BX103" s="1706"/>
      <c r="BY103" s="1706"/>
      <c r="BZ103" s="1706"/>
      <c r="CA103" s="1706"/>
      <c r="CB103" s="1706"/>
      <c r="CC103" s="1706"/>
      <c r="CD103" s="1706"/>
      <c r="CE103" s="1706"/>
      <c r="CF103" s="1706"/>
      <c r="CG103" s="1706"/>
      <c r="CH103" s="1706"/>
      <c r="CI103" s="1706"/>
    </row>
    <row r="104" spans="1:87" s="249" customFormat="1" ht="45.95" customHeight="1">
      <c r="A104" s="1706"/>
      <c r="C104" s="1706"/>
      <c r="D104" s="1706"/>
      <c r="E104" s="1706"/>
      <c r="F104" s="1706"/>
      <c r="G104" s="1706"/>
      <c r="H104" s="1706"/>
      <c r="I104" s="1706"/>
      <c r="J104" s="1706"/>
      <c r="K104" s="1706"/>
      <c r="L104" s="1706"/>
      <c r="M104" s="1706"/>
      <c r="N104" s="1706"/>
      <c r="O104" s="1706"/>
      <c r="P104" s="1706"/>
      <c r="Q104" s="1758"/>
      <c r="R104" s="1758"/>
      <c r="S104" s="1758"/>
      <c r="T104" s="1758"/>
      <c r="U104" s="1706"/>
      <c r="V104" s="1706"/>
      <c r="W104" s="1758"/>
      <c r="X104" s="1758"/>
      <c r="Y104" s="1758"/>
      <c r="Z104" s="1706"/>
      <c r="AA104" s="1706"/>
      <c r="AB104" s="1706"/>
      <c r="AC104" s="1706"/>
      <c r="AD104" s="1706"/>
      <c r="AE104" s="1706"/>
      <c r="AF104" s="1758"/>
      <c r="AG104" s="1706"/>
      <c r="AH104" s="1706"/>
      <c r="AI104" s="1706"/>
      <c r="AJ104" s="1706"/>
      <c r="AK104" s="1706"/>
      <c r="AL104" s="1706"/>
      <c r="AM104" s="1706"/>
      <c r="AN104" s="1706"/>
      <c r="AO104" s="1706"/>
      <c r="AP104" s="1706"/>
      <c r="AQ104" s="1706"/>
      <c r="AR104" s="1706"/>
      <c r="AS104" s="1706"/>
      <c r="AT104" s="1706"/>
      <c r="AU104" s="1706"/>
      <c r="AV104" s="1706"/>
      <c r="AW104" s="1706"/>
      <c r="AX104" s="1706"/>
      <c r="AY104" s="1706"/>
      <c r="AZ104" s="1706"/>
      <c r="BA104" s="1706"/>
      <c r="BB104" s="1706"/>
      <c r="BC104" s="1706"/>
      <c r="BD104" s="1706"/>
      <c r="BE104" s="1706"/>
      <c r="BF104" s="1706"/>
      <c r="BG104" s="1706"/>
      <c r="BH104" s="1706"/>
      <c r="BI104" s="1706"/>
      <c r="BJ104" s="1706"/>
      <c r="BK104" s="1706"/>
      <c r="BL104" s="1706"/>
      <c r="BM104" s="1706"/>
      <c r="BN104" s="1706"/>
      <c r="BO104" s="1706"/>
      <c r="BP104" s="1706"/>
      <c r="BQ104" s="1706"/>
      <c r="BR104" s="1706"/>
      <c r="BS104" s="1706"/>
      <c r="BT104" s="1706"/>
      <c r="BU104" s="1706"/>
      <c r="BV104" s="1706"/>
      <c r="BW104" s="1706"/>
      <c r="BX104" s="1706"/>
      <c r="BY104" s="1706"/>
      <c r="BZ104" s="1706"/>
      <c r="CA104" s="1706"/>
      <c r="CB104" s="1706"/>
      <c r="CC104" s="1706"/>
      <c r="CD104" s="1706"/>
      <c r="CE104" s="1706"/>
      <c r="CF104" s="1706"/>
      <c r="CG104" s="1706"/>
      <c r="CH104" s="1706"/>
      <c r="CI104" s="1706"/>
    </row>
    <row r="105" spans="1:87" s="249" customFormat="1" ht="45.95" customHeight="1">
      <c r="A105" s="1706"/>
      <c r="C105" s="1706"/>
      <c r="D105" s="1706"/>
      <c r="E105" s="1706"/>
      <c r="F105" s="1706"/>
      <c r="G105" s="1706"/>
      <c r="H105" s="1706"/>
      <c r="I105" s="1706"/>
      <c r="J105" s="1706"/>
      <c r="K105" s="1706"/>
      <c r="L105" s="1706"/>
      <c r="M105" s="1706"/>
      <c r="N105" s="1706"/>
      <c r="O105" s="1706"/>
      <c r="P105" s="1706"/>
      <c r="Q105" s="1758"/>
      <c r="R105" s="1758"/>
      <c r="S105" s="1758"/>
      <c r="T105" s="1758"/>
      <c r="U105" s="1706"/>
      <c r="V105" s="1706"/>
      <c r="W105" s="1758"/>
      <c r="X105" s="1758"/>
      <c r="Y105" s="1758"/>
      <c r="Z105" s="1706"/>
      <c r="AA105" s="1706"/>
      <c r="AB105" s="1706"/>
      <c r="AC105" s="1706"/>
      <c r="AD105" s="1706"/>
      <c r="AE105" s="1706"/>
      <c r="AF105" s="1758"/>
      <c r="AG105" s="1706"/>
      <c r="AH105" s="1706"/>
      <c r="AI105" s="1706"/>
      <c r="AJ105" s="1706"/>
      <c r="AK105" s="1706"/>
      <c r="AL105" s="1706"/>
      <c r="AM105" s="1706"/>
      <c r="AN105" s="1706"/>
      <c r="AO105" s="1706"/>
      <c r="AP105" s="1706"/>
      <c r="AQ105" s="1706"/>
      <c r="AR105" s="1706"/>
      <c r="AS105" s="1706"/>
      <c r="AT105" s="1706"/>
      <c r="AU105" s="1706"/>
      <c r="AV105" s="1706"/>
      <c r="AW105" s="1706"/>
      <c r="AX105" s="1706"/>
      <c r="AY105" s="1706"/>
      <c r="AZ105" s="1706"/>
      <c r="BA105" s="1706"/>
      <c r="BB105" s="1706"/>
      <c r="BC105" s="1706"/>
      <c r="BD105" s="1706"/>
      <c r="BE105" s="1706"/>
      <c r="BF105" s="1706"/>
      <c r="BG105" s="1706"/>
      <c r="BH105" s="1706"/>
      <c r="BI105" s="1706"/>
      <c r="BJ105" s="1706"/>
      <c r="BK105" s="1706"/>
      <c r="BL105" s="1706"/>
      <c r="BM105" s="1706"/>
      <c r="BN105" s="1706"/>
      <c r="BO105" s="1706"/>
      <c r="BP105" s="1706"/>
      <c r="BQ105" s="1706"/>
      <c r="BR105" s="1706"/>
      <c r="BS105" s="1706"/>
      <c r="BT105" s="1706"/>
      <c r="BU105" s="1706"/>
      <c r="BV105" s="1706"/>
      <c r="BW105" s="1706"/>
      <c r="BX105" s="1706"/>
      <c r="BY105" s="1706"/>
      <c r="BZ105" s="1706"/>
      <c r="CA105" s="1706"/>
      <c r="CB105" s="1706"/>
      <c r="CC105" s="1706"/>
      <c r="CD105" s="1706"/>
      <c r="CE105" s="1706"/>
      <c r="CF105" s="1706"/>
      <c r="CG105" s="1706"/>
      <c r="CH105" s="1706"/>
      <c r="CI105" s="1706"/>
    </row>
    <row r="106" spans="1:87" s="249" customFormat="1" ht="45.95" customHeight="1">
      <c r="A106" s="1706"/>
      <c r="C106" s="1706"/>
      <c r="D106" s="1706"/>
      <c r="E106" s="1706"/>
      <c r="F106" s="1706"/>
      <c r="G106" s="1706"/>
      <c r="H106" s="1706"/>
      <c r="I106" s="1706"/>
      <c r="J106" s="1706"/>
      <c r="K106" s="1706"/>
      <c r="L106" s="1706"/>
      <c r="M106" s="1706"/>
      <c r="N106" s="1706"/>
      <c r="O106" s="1706"/>
      <c r="P106" s="1706"/>
      <c r="Q106" s="1758"/>
      <c r="R106" s="1758"/>
      <c r="S106" s="1758"/>
      <c r="T106" s="1758"/>
      <c r="U106" s="1706"/>
      <c r="V106" s="1706"/>
      <c r="W106" s="1758"/>
      <c r="X106" s="1758"/>
      <c r="Y106" s="1758"/>
      <c r="Z106" s="1706"/>
      <c r="AA106" s="1706"/>
      <c r="AB106" s="1706"/>
      <c r="AC106" s="1706"/>
      <c r="AD106" s="1706"/>
      <c r="AE106" s="1706"/>
      <c r="AF106" s="1758"/>
      <c r="AG106" s="1706"/>
      <c r="AH106" s="1706"/>
      <c r="AI106" s="1706"/>
      <c r="AJ106" s="1706"/>
      <c r="AK106" s="1706"/>
      <c r="AL106" s="1706"/>
      <c r="AM106" s="1706"/>
      <c r="AN106" s="1706"/>
      <c r="AO106" s="1706"/>
      <c r="AP106" s="1706"/>
      <c r="AQ106" s="1706"/>
      <c r="AR106" s="1706"/>
      <c r="AS106" s="1706"/>
      <c r="AT106" s="1706"/>
      <c r="AU106" s="1706"/>
      <c r="AV106" s="1706"/>
      <c r="AW106" s="1706"/>
      <c r="AX106" s="1706"/>
      <c r="AY106" s="1706"/>
      <c r="AZ106" s="1706"/>
      <c r="BA106" s="1706"/>
      <c r="BB106" s="1706"/>
      <c r="BC106" s="1706"/>
      <c r="BD106" s="1706"/>
      <c r="BE106" s="1706"/>
      <c r="BF106" s="1706"/>
      <c r="BG106" s="1706"/>
      <c r="BH106" s="1706"/>
      <c r="BI106" s="1706"/>
      <c r="BJ106" s="1706"/>
      <c r="BK106" s="1706"/>
      <c r="BL106" s="1706"/>
      <c r="BM106" s="1706"/>
      <c r="BN106" s="1706"/>
      <c r="BO106" s="1706"/>
      <c r="BP106" s="1706"/>
      <c r="BQ106" s="1706"/>
      <c r="BR106" s="1706"/>
      <c r="BS106" s="1706"/>
      <c r="BT106" s="1706"/>
      <c r="BU106" s="1706"/>
      <c r="BV106" s="1706"/>
      <c r="BW106" s="1706"/>
      <c r="BX106" s="1706"/>
      <c r="BY106" s="1706"/>
      <c r="BZ106" s="1706"/>
      <c r="CA106" s="1706"/>
      <c r="CB106" s="1706"/>
      <c r="CC106" s="1706"/>
      <c r="CD106" s="1706"/>
      <c r="CE106" s="1706"/>
      <c r="CF106" s="1706"/>
      <c r="CG106" s="1706"/>
      <c r="CH106" s="1706"/>
      <c r="CI106" s="1706"/>
    </row>
    <row r="107" spans="1:87" ht="45.95" customHeight="1"/>
    <row r="108" spans="1:87" ht="45.95" customHeight="1"/>
    <row r="109" spans="1:87" ht="45.95" customHeight="1"/>
  </sheetData>
  <mergeCells count="4">
    <mergeCell ref="A1:CJ1"/>
    <mergeCell ref="A2:CJ2"/>
    <mergeCell ref="A3:CJ3"/>
    <mergeCell ref="A49:AQ49"/>
  </mergeCells>
  <pageMargins left="0.70866141732283472" right="0.31496062992125984" top="0.35433070866141736" bottom="0" header="0.31496062992125984" footer="0.31496062992125984"/>
  <pageSetup paperSize="9" scale="12" fitToWidth="2" orientation="landscape" r:id="rId1"/>
  <rowBreaks count="1" manualBreakCount="1">
    <brk id="4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5"/>
  <sheetViews>
    <sheetView zoomScaleNormal="100" workbookViewId="0">
      <selection activeCell="V20" sqref="V20"/>
    </sheetView>
  </sheetViews>
  <sheetFormatPr defaultRowHeight="12.75"/>
  <cols>
    <col min="1" max="1" width="3.85546875" customWidth="1"/>
    <col min="2" max="2" width="9.28515625" customWidth="1"/>
    <col min="3" max="3" width="5.140625" customWidth="1"/>
    <col min="4" max="4" width="10.140625" bestFit="1" customWidth="1"/>
    <col min="5" max="5" width="11.5703125" customWidth="1"/>
    <col min="6" max="6" width="8.7109375" customWidth="1"/>
    <col min="7" max="7" width="6.85546875" bestFit="1" customWidth="1"/>
    <col min="10" max="10" width="6.42578125" customWidth="1"/>
    <col min="17" max="17" width="11.140625" customWidth="1"/>
    <col min="18" max="18" width="10.42578125" customWidth="1"/>
  </cols>
  <sheetData>
    <row r="2" spans="2:18">
      <c r="B2" s="2461"/>
      <c r="C2" s="2461"/>
      <c r="D2" s="2461"/>
      <c r="E2" s="2461"/>
      <c r="F2" s="2461"/>
      <c r="G2" s="2460"/>
      <c r="H2" s="2461"/>
      <c r="I2" s="2461"/>
      <c r="J2" s="2461"/>
      <c r="K2" s="2461"/>
      <c r="L2" s="2461"/>
      <c r="M2" s="2461"/>
      <c r="N2" s="2461"/>
      <c r="O2" s="2461"/>
      <c r="P2" s="2461"/>
      <c r="Q2" s="709"/>
      <c r="R2" s="2461"/>
    </row>
    <row r="3" spans="2:18">
      <c r="B3" s="2461"/>
      <c r="C3" s="2461"/>
      <c r="D3" s="2461"/>
      <c r="E3" s="2461"/>
      <c r="F3" s="2461"/>
      <c r="G3" s="2460"/>
      <c r="H3" s="710"/>
      <c r="I3" s="710"/>
      <c r="J3" s="711"/>
      <c r="K3" s="710"/>
      <c r="L3" s="710"/>
      <c r="M3" s="711"/>
      <c r="N3" s="710"/>
      <c r="O3" s="710"/>
      <c r="P3" s="711"/>
      <c r="Q3" s="712"/>
      <c r="R3" s="2461"/>
    </row>
    <row r="4" spans="2:18" s="1269" customFormat="1">
      <c r="B4" s="1268"/>
      <c r="C4" s="1268"/>
      <c r="D4" s="1267"/>
      <c r="E4" s="1267"/>
      <c r="F4" s="713"/>
      <c r="G4" s="714"/>
      <c r="H4" s="1207"/>
      <c r="I4" s="1207"/>
      <c r="J4" s="1757"/>
      <c r="K4" s="1207"/>
      <c r="L4" s="1207"/>
      <c r="M4" s="1248"/>
      <c r="N4" s="1207"/>
      <c r="O4" s="1207"/>
      <c r="P4" s="1206"/>
      <c r="Q4" s="1190"/>
      <c r="R4" s="715"/>
    </row>
    <row r="5" spans="2:18">
      <c r="B5" s="1268"/>
      <c r="C5" s="1268"/>
      <c r="D5" s="1267"/>
      <c r="E5" s="1267"/>
      <c r="F5" s="713"/>
      <c r="G5" s="714"/>
      <c r="H5" s="1207"/>
      <c r="I5" s="1207"/>
      <c r="J5" s="1206"/>
      <c r="K5" s="1207"/>
      <c r="L5" s="1207"/>
      <c r="M5" s="1248"/>
      <c r="N5" s="1207"/>
      <c r="O5" s="1207"/>
      <c r="P5" s="1206"/>
      <c r="Q5" s="1190"/>
      <c r="R5" s="715"/>
    </row>
  </sheetData>
  <mergeCells count="10">
    <mergeCell ref="B2:B3"/>
    <mergeCell ref="C2:C3"/>
    <mergeCell ref="D2:D3"/>
    <mergeCell ref="E2:E3"/>
    <mergeCell ref="F2:F3"/>
    <mergeCell ref="G2:G3"/>
    <mergeCell ref="H2:J2"/>
    <mergeCell ref="K2:M2"/>
    <mergeCell ref="N2:P2"/>
    <mergeCell ref="R2:R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03"/>
  <sheetViews>
    <sheetView topLeftCell="A42" zoomScaleNormal="100" workbookViewId="0">
      <selection activeCell="G82" sqref="F82:G82"/>
    </sheetView>
  </sheetViews>
  <sheetFormatPr defaultColWidth="8.85546875" defaultRowHeight="12.75"/>
  <cols>
    <col min="1" max="1" width="3.85546875" style="3" customWidth="1"/>
    <col min="2" max="2" width="9" style="1758" customWidth="1"/>
    <col min="3" max="3" width="11.7109375" style="1758" customWidth="1"/>
    <col min="4" max="4" width="42.140625" style="1758" customWidth="1"/>
    <col min="5" max="5" width="16" style="1063" customWidth="1"/>
    <col min="6" max="6" width="15.85546875" style="1063" customWidth="1"/>
    <col min="7" max="7" width="13.28515625" style="1063" customWidth="1"/>
    <col min="8" max="8" width="14.140625" style="1063" customWidth="1"/>
    <col min="9" max="10" width="14.140625" style="1063" hidden="1" customWidth="1"/>
    <col min="11" max="11" width="15.42578125" style="1063" hidden="1" customWidth="1"/>
    <col min="12" max="12" width="16.28515625" style="1063" customWidth="1"/>
    <col min="13" max="13" width="13.7109375" style="1758" customWidth="1"/>
    <col min="14" max="16384" width="8.85546875" style="1758"/>
  </cols>
  <sheetData>
    <row r="1" spans="1:13" ht="13.7" customHeight="1">
      <c r="F1" s="1167"/>
      <c r="G1" s="1167"/>
      <c r="H1" s="1167"/>
      <c r="I1" s="1167"/>
      <c r="J1" s="1167"/>
      <c r="K1" s="1167"/>
      <c r="L1" s="1167"/>
      <c r="M1" s="1786" t="s">
        <v>389</v>
      </c>
    </row>
    <row r="3" spans="1:13" s="4" customFormat="1" ht="16.5">
      <c r="A3" s="2417" t="s">
        <v>390</v>
      </c>
      <c r="B3" s="2417"/>
      <c r="C3" s="2417"/>
      <c r="D3" s="2417"/>
      <c r="E3" s="2417"/>
      <c r="F3" s="2417"/>
      <c r="G3" s="2417"/>
      <c r="H3" s="2417"/>
      <c r="I3" s="2417"/>
      <c r="J3" s="2417"/>
      <c r="K3" s="2417"/>
      <c r="L3" s="2417"/>
      <c r="M3" s="2417"/>
    </row>
    <row r="4" spans="1:13" s="4" customFormat="1" ht="19.5" customHeight="1">
      <c r="A4" s="2418" t="s">
        <v>1287</v>
      </c>
      <c r="B4" s="2418"/>
      <c r="C4" s="2418"/>
      <c r="D4" s="2418"/>
      <c r="E4" s="2418"/>
      <c r="F4" s="2418"/>
      <c r="G4" s="2418"/>
      <c r="H4" s="2418"/>
      <c r="I4" s="2418"/>
      <c r="J4" s="2418"/>
      <c r="K4" s="2418"/>
      <c r="L4" s="2418"/>
      <c r="M4" s="2418"/>
    </row>
    <row r="5" spans="1:13" s="4" customFormat="1" ht="20.25" customHeight="1">
      <c r="A5" s="516"/>
      <c r="B5" s="516"/>
      <c r="C5" s="516"/>
      <c r="D5" s="516"/>
      <c r="E5" s="1168"/>
      <c r="F5" s="1168"/>
      <c r="G5" s="1168"/>
      <c r="H5" s="1168"/>
      <c r="I5" s="1168"/>
      <c r="J5" s="1168"/>
      <c r="K5" s="1168"/>
      <c r="L5" s="1168"/>
      <c r="M5" s="516"/>
    </row>
    <row r="6" spans="1:13" s="484" customFormat="1" ht="20.25" hidden="1" customHeight="1" thickTop="1" thickBot="1">
      <c r="A6" s="1794"/>
      <c r="B6" s="516" t="s">
        <v>391</v>
      </c>
      <c r="C6" s="517"/>
      <c r="D6" s="483">
        <f>'Комм пред '!C5</f>
        <v>0</v>
      </c>
      <c r="E6" s="1169"/>
      <c r="F6" s="1169"/>
      <c r="G6" s="1169"/>
      <c r="H6" s="1169"/>
      <c r="I6" s="1169"/>
      <c r="J6" s="1169"/>
      <c r="K6" s="1169"/>
      <c r="L6" s="1169"/>
      <c r="M6" s="1794"/>
    </row>
    <row r="7" spans="1:13" s="484" customFormat="1" ht="16.5" hidden="1">
      <c r="A7" s="1794"/>
      <c r="B7" s="1794"/>
      <c r="C7" s="1794"/>
      <c r="D7" s="1794"/>
      <c r="E7" s="1169"/>
      <c r="F7" s="1169"/>
      <c r="G7" s="1169"/>
      <c r="H7" s="1169"/>
      <c r="I7" s="1169"/>
      <c r="J7" s="1169"/>
      <c r="K7" s="1169"/>
      <c r="L7" s="1169"/>
      <c r="M7" s="1794"/>
    </row>
    <row r="8" spans="1:13" s="484" customFormat="1" ht="18" hidden="1" thickTop="1" thickBot="1">
      <c r="A8" s="1794"/>
      <c r="B8" s="2419" t="s">
        <v>386</v>
      </c>
      <c r="C8" s="2419"/>
      <c r="D8" s="2420">
        <f>'Комм пред '!C7</f>
        <v>0</v>
      </c>
      <c r="E8" s="2421"/>
      <c r="F8" s="1169"/>
      <c r="G8" s="1169"/>
      <c r="H8" s="1169"/>
      <c r="I8" s="1169"/>
      <c r="J8" s="1169"/>
      <c r="K8" s="1169"/>
      <c r="L8" s="1169"/>
      <c r="M8" s="1794"/>
    </row>
    <row r="9" spans="1:13" s="4" customFormat="1" ht="16.5">
      <c r="A9" s="1793"/>
      <c r="B9" s="1793"/>
      <c r="C9" s="1793"/>
      <c r="D9" s="1794"/>
      <c r="E9" s="1170"/>
      <c r="F9" s="1170"/>
      <c r="G9" s="1170"/>
      <c r="H9" s="1170"/>
      <c r="I9" s="1170"/>
      <c r="J9" s="1170"/>
      <c r="K9" s="1170"/>
      <c r="L9" s="1170"/>
      <c r="M9" s="1793"/>
    </row>
    <row r="10" spans="1:13" s="486" customFormat="1" ht="15.75">
      <c r="A10" s="2422" t="s">
        <v>392</v>
      </c>
      <c r="B10" s="2422"/>
      <c r="C10" s="2422"/>
      <c r="D10" s="2422"/>
      <c r="E10" s="1768" t="e">
        <f>'Хим. скв 45'!#REF!</f>
        <v>#REF!</v>
      </c>
      <c r="F10" s="1171"/>
      <c r="G10" s="1171"/>
      <c r="H10" s="1171"/>
      <c r="I10" s="1171"/>
      <c r="J10" s="1171"/>
      <c r="K10" s="1171"/>
      <c r="L10" s="1171"/>
      <c r="M10" s="485"/>
    </row>
    <row r="11" spans="1:13" s="486" customFormat="1" ht="16.5" thickBot="1">
      <c r="A11" s="1795"/>
      <c r="B11" s="1795"/>
      <c r="C11" s="1795"/>
      <c r="D11" s="1795"/>
      <c r="E11" s="1171"/>
      <c r="F11" s="1171"/>
      <c r="G11" s="1171"/>
      <c r="H11" s="1171"/>
      <c r="I11" s="1171"/>
      <c r="J11" s="1171"/>
      <c r="K11" s="1171"/>
      <c r="L11" s="1171"/>
      <c r="M11" s="485"/>
    </row>
    <row r="12" spans="1:13" s="4" customFormat="1" ht="17.25" thickTop="1" thickBot="1">
      <c r="A12" s="2423" t="s">
        <v>393</v>
      </c>
      <c r="B12" s="2423"/>
      <c r="C12" s="2423"/>
      <c r="D12" s="2423"/>
      <c r="E12" s="498">
        <f>'№2.4.переезд скв. 45'!N7</f>
        <v>0</v>
      </c>
      <c r="F12" s="1172" t="s">
        <v>66</v>
      </c>
      <c r="G12" s="1173"/>
      <c r="H12" s="1173"/>
      <c r="I12" s="1173"/>
      <c r="J12" s="1173"/>
      <c r="K12" s="1173"/>
      <c r="L12" s="1173"/>
      <c r="M12" s="487"/>
    </row>
    <row r="13" spans="1:13" s="4" customFormat="1" ht="17.25" thickTop="1" thickBot="1">
      <c r="A13" s="1796"/>
      <c r="B13" s="1796"/>
      <c r="C13" s="1796"/>
      <c r="D13" s="1796"/>
      <c r="E13" s="1174"/>
      <c r="F13" s="1173"/>
      <c r="G13" s="1173"/>
      <c r="H13" s="1173"/>
      <c r="I13" s="1173"/>
      <c r="J13" s="1173"/>
      <c r="K13" s="1173"/>
      <c r="L13" s="1173"/>
      <c r="M13" s="487"/>
    </row>
    <row r="14" spans="1:13" s="4" customFormat="1" ht="17.25" thickTop="1" thickBot="1">
      <c r="A14" s="2424" t="s">
        <v>394</v>
      </c>
      <c r="B14" s="2424"/>
      <c r="C14" s="2424"/>
      <c r="D14" s="2424"/>
      <c r="E14" s="498"/>
      <c r="F14" s="1172" t="s">
        <v>301</v>
      </c>
      <c r="G14" s="1173"/>
      <c r="H14" s="1173"/>
      <c r="I14" s="1173"/>
      <c r="J14" s="1173"/>
      <c r="K14" s="1173"/>
      <c r="L14" s="1173"/>
      <c r="M14" s="487"/>
    </row>
    <row r="15" spans="1:13" s="4" customFormat="1" ht="16.5" hidden="1" thickTop="1">
      <c r="A15" s="2425" t="s">
        <v>339</v>
      </c>
      <c r="B15" s="2425"/>
      <c r="C15" s="2425"/>
      <c r="D15" s="1797"/>
      <c r="E15" s="1175"/>
      <c r="F15" s="1173"/>
      <c r="G15" s="1173"/>
      <c r="H15" s="1173"/>
      <c r="I15" s="1173"/>
      <c r="J15" s="1173"/>
      <c r="K15" s="1173"/>
      <c r="L15" s="1173"/>
      <c r="M15" s="487"/>
    </row>
    <row r="16" spans="1:13" s="489" customFormat="1" ht="17.25" hidden="1" thickTop="1" thickBot="1">
      <c r="A16" s="1262"/>
      <c r="B16" s="2426" t="s">
        <v>387</v>
      </c>
      <c r="C16" s="2426"/>
      <c r="D16" s="2426"/>
      <c r="E16" s="498">
        <f>'Расчет ННБ'!E19</f>
        <v>1095</v>
      </c>
      <c r="F16" s="1171" t="s">
        <v>1</v>
      </c>
      <c r="G16" s="1176"/>
      <c r="H16" s="1176"/>
      <c r="I16" s="1176"/>
      <c r="J16" s="1176"/>
      <c r="K16" s="1176"/>
      <c r="L16" s="1176"/>
      <c r="M16" s="488"/>
    </row>
    <row r="17" spans="1:13" s="489" customFormat="1" ht="17.25" thickTop="1" thickBot="1">
      <c r="A17" s="1262"/>
      <c r="B17" s="1805"/>
      <c r="C17" s="1805"/>
      <c r="D17" s="1805"/>
      <c r="E17" s="1175"/>
      <c r="F17" s="1176"/>
      <c r="G17" s="1176"/>
      <c r="H17" s="1176"/>
      <c r="I17" s="1176"/>
      <c r="J17" s="1176"/>
      <c r="K17" s="1176"/>
      <c r="L17" s="1176"/>
      <c r="M17" s="488"/>
    </row>
    <row r="18" spans="1:13" s="489" customFormat="1" ht="17.25" thickTop="1" thickBot="1">
      <c r="A18" s="2424" t="s">
        <v>1230</v>
      </c>
      <c r="B18" s="2424"/>
      <c r="C18" s="2424"/>
      <c r="D18" s="2424"/>
      <c r="E18" s="498"/>
      <c r="F18" s="1171" t="s">
        <v>301</v>
      </c>
      <c r="G18" s="1176"/>
      <c r="H18" s="1176"/>
      <c r="I18" s="1176"/>
      <c r="J18" s="1176"/>
      <c r="K18" s="1176"/>
      <c r="L18" s="1176"/>
      <c r="M18" s="488"/>
    </row>
    <row r="19" spans="1:13" s="4" customFormat="1" ht="17.25" thickTop="1" thickBot="1">
      <c r="A19" s="2416" t="s">
        <v>603</v>
      </c>
      <c r="B19" s="2416"/>
      <c r="C19" s="2416"/>
      <c r="D19" s="2416"/>
      <c r="E19" s="2416"/>
      <c r="F19" s="1177"/>
      <c r="G19" s="1766" t="s">
        <v>72</v>
      </c>
      <c r="H19" s="1178"/>
      <c r="I19" s="1178"/>
      <c r="J19" s="1178"/>
      <c r="K19" s="1178"/>
      <c r="L19" s="1178"/>
      <c r="M19" s="490"/>
    </row>
    <row r="20" spans="1:13" s="4" customFormat="1" ht="16.5" hidden="1" thickTop="1">
      <c r="A20" s="2427" t="s">
        <v>339</v>
      </c>
      <c r="B20" s="2427"/>
      <c r="C20" s="1262"/>
      <c r="D20" s="1262"/>
      <c r="E20" s="1290"/>
      <c r="F20" s="1262"/>
      <c r="G20" s="1178"/>
      <c r="H20" s="1178"/>
      <c r="I20" s="1178"/>
      <c r="J20" s="1178"/>
      <c r="K20" s="1178"/>
      <c r="L20" s="1178"/>
      <c r="M20" s="490"/>
    </row>
    <row r="21" spans="1:13" s="4" customFormat="1" ht="17.25" hidden="1" thickTop="1" thickBot="1">
      <c r="A21" s="1797"/>
      <c r="B21" s="1798" t="s">
        <v>800</v>
      </c>
      <c r="C21" s="1798"/>
      <c r="D21" s="1798"/>
      <c r="E21" s="1798"/>
      <c r="F21" s="1291">
        <f>E37</f>
        <v>0</v>
      </c>
      <c r="G21" s="1178"/>
      <c r="H21" s="1178"/>
      <c r="I21" s="1178"/>
      <c r="J21" s="1178"/>
      <c r="K21" s="1178"/>
      <c r="L21" s="1178"/>
      <c r="M21" s="490"/>
    </row>
    <row r="22" spans="1:13" s="4" customFormat="1" ht="17.25" hidden="1" thickTop="1" thickBot="1">
      <c r="A22" s="1797"/>
      <c r="B22" s="1798" t="s">
        <v>801</v>
      </c>
      <c r="C22" s="1798"/>
      <c r="D22" s="1798"/>
      <c r="E22" s="1798"/>
      <c r="F22" s="1291">
        <f>G37</f>
        <v>0</v>
      </c>
      <c r="G22" s="1178"/>
      <c r="H22" s="1178"/>
      <c r="I22" s="1178"/>
      <c r="J22" s="1178"/>
      <c r="K22" s="1178"/>
      <c r="L22" s="1178"/>
      <c r="M22" s="490"/>
    </row>
    <row r="23" spans="1:13" s="4" customFormat="1" ht="17.25" hidden="1" thickTop="1" thickBot="1">
      <c r="A23" s="1797"/>
      <c r="B23" s="1798" t="s">
        <v>802</v>
      </c>
      <c r="C23" s="1798"/>
      <c r="D23" s="1798"/>
      <c r="E23" s="1798"/>
      <c r="F23" s="1291">
        <f>I37</f>
        <v>0</v>
      </c>
      <c r="G23" s="1178"/>
      <c r="H23" s="1178"/>
      <c r="I23" s="1178"/>
      <c r="J23" s="1178"/>
      <c r="K23" s="1178"/>
      <c r="L23" s="1178"/>
      <c r="M23" s="490"/>
    </row>
    <row r="24" spans="1:13" s="4" customFormat="1" ht="17.25" hidden="1" thickTop="1" thickBot="1">
      <c r="A24" s="1797"/>
      <c r="B24" s="1798" t="s">
        <v>803</v>
      </c>
      <c r="C24" s="1798"/>
      <c r="D24" s="1798"/>
      <c r="E24" s="1798"/>
      <c r="F24" s="1291">
        <f>F37</f>
        <v>0</v>
      </c>
      <c r="G24" s="1178"/>
      <c r="H24" s="1178"/>
      <c r="I24" s="1178"/>
      <c r="J24" s="1178"/>
      <c r="K24" s="1178"/>
      <c r="L24" s="1178"/>
      <c r="M24" s="490"/>
    </row>
    <row r="25" spans="1:13" s="4" customFormat="1" ht="16.5" thickTop="1">
      <c r="A25" s="2427"/>
      <c r="B25" s="2427"/>
      <c r="C25" s="1262"/>
      <c r="D25" s="1262"/>
      <c r="E25" s="1290"/>
      <c r="F25" s="1262"/>
      <c r="G25" s="1178"/>
      <c r="H25" s="1178"/>
      <c r="I25" s="1178"/>
      <c r="J25" s="1178"/>
      <c r="K25" s="1178"/>
      <c r="L25" s="1178"/>
      <c r="M25" s="490"/>
    </row>
    <row r="26" spans="1:13" s="4" customFormat="1" ht="17.25" hidden="1" thickTop="1" thickBot="1">
      <c r="A26" s="1797"/>
      <c r="B26" s="1798" t="s">
        <v>804</v>
      </c>
      <c r="C26" s="1798"/>
      <c r="D26" s="1798"/>
      <c r="E26" s="1798"/>
      <c r="F26" s="1291"/>
      <c r="G26" s="1178"/>
      <c r="H26" s="1178"/>
      <c r="I26" s="1178"/>
      <c r="J26" s="1178"/>
      <c r="K26" s="1178"/>
      <c r="L26" s="1178"/>
      <c r="M26" s="490"/>
    </row>
    <row r="27" spans="1:13" s="4" customFormat="1" ht="17.25" hidden="1" thickTop="1" thickBot="1">
      <c r="A27" s="1797"/>
      <c r="B27" s="1798"/>
      <c r="C27" s="1798"/>
      <c r="D27" s="1798"/>
      <c r="E27" s="1798"/>
      <c r="F27" s="1291"/>
      <c r="G27" s="1178"/>
      <c r="H27" s="1178"/>
      <c r="I27" s="1178"/>
      <c r="J27" s="1178"/>
      <c r="K27" s="1178"/>
      <c r="L27" s="1178"/>
      <c r="M27" s="490"/>
    </row>
    <row r="28" spans="1:13" s="4" customFormat="1" ht="17.25" hidden="1" thickTop="1" thickBot="1">
      <c r="A28" s="1797"/>
      <c r="B28" s="1798" t="s">
        <v>805</v>
      </c>
      <c r="C28" s="1798"/>
      <c r="D28" s="1798"/>
      <c r="E28" s="1798"/>
      <c r="F28" s="1291"/>
      <c r="G28" s="1178"/>
      <c r="H28" s="1178"/>
      <c r="I28" s="1178"/>
      <c r="J28" s="1178"/>
      <c r="K28" s="1178"/>
      <c r="L28" s="1178"/>
      <c r="M28" s="490"/>
    </row>
    <row r="29" spans="1:13" s="4" customFormat="1" ht="17.25" hidden="1" thickTop="1" thickBot="1">
      <c r="A29" s="1797"/>
      <c r="B29" s="1798" t="s">
        <v>806</v>
      </c>
      <c r="C29" s="1798"/>
      <c r="D29" s="1798"/>
      <c r="E29" s="1798"/>
      <c r="F29" s="1291"/>
      <c r="G29" s="1178"/>
      <c r="H29" s="1178"/>
      <c r="I29" s="1178"/>
      <c r="J29" s="1178"/>
      <c r="K29" s="1178"/>
      <c r="L29" s="1178"/>
      <c r="M29" s="490"/>
    </row>
    <row r="30" spans="1:13" s="4" customFormat="1" ht="16.5" thickBot="1">
      <c r="A30" s="1797"/>
      <c r="B30" s="1798"/>
      <c r="C30" s="1798"/>
      <c r="D30" s="1798"/>
      <c r="E30" s="1798"/>
      <c r="F30" s="1178"/>
      <c r="G30" s="1178"/>
      <c r="H30" s="1178"/>
      <c r="I30" s="1178"/>
      <c r="J30" s="1178"/>
      <c r="K30" s="1178"/>
      <c r="L30" s="1178"/>
      <c r="M30" s="490"/>
    </row>
    <row r="31" spans="1:13" s="486" customFormat="1" ht="17.25" thickTop="1" thickBot="1">
      <c r="A31" s="2415" t="s">
        <v>324</v>
      </c>
      <c r="B31" s="2415"/>
      <c r="C31" s="2415"/>
      <c r="D31" s="2415"/>
      <c r="E31" s="498" t="e">
        <f>E14*30.4/(F19)</f>
        <v>#DIV/0!</v>
      </c>
      <c r="F31" s="1171" t="s">
        <v>323</v>
      </c>
      <c r="G31" s="1171"/>
      <c r="H31" s="1171"/>
      <c r="I31" s="1171"/>
      <c r="J31" s="1171"/>
      <c r="K31" s="1171"/>
      <c r="L31" s="1171"/>
      <c r="M31" s="491"/>
    </row>
    <row r="32" spans="1:13" s="4" customFormat="1" ht="17.25" thickTop="1" thickBot="1">
      <c r="A32" s="16"/>
      <c r="B32" s="15"/>
      <c r="C32" s="15"/>
      <c r="D32" s="15"/>
      <c r="E32" s="1179"/>
      <c r="F32" s="1179"/>
      <c r="G32" s="1179"/>
      <c r="H32" s="1179"/>
      <c r="I32" s="1179"/>
      <c r="J32" s="1179"/>
      <c r="K32" s="1179"/>
      <c r="L32" s="1179"/>
      <c r="M32" s="15"/>
    </row>
    <row r="33" spans="1:13" s="17" customFormat="1" ht="15">
      <c r="A33" s="2407" t="s">
        <v>110</v>
      </c>
      <c r="B33" s="2409" t="s">
        <v>34</v>
      </c>
      <c r="C33" s="2409"/>
      <c r="D33" s="2409"/>
      <c r="E33" s="2412" t="s">
        <v>111</v>
      </c>
      <c r="F33" s="2413"/>
      <c r="G33" s="2413"/>
      <c r="H33" s="2413"/>
      <c r="I33" s="2413"/>
      <c r="J33" s="2413"/>
      <c r="K33" s="2414"/>
      <c r="L33" s="2402" t="s">
        <v>183</v>
      </c>
      <c r="M33" s="2405" t="s">
        <v>90</v>
      </c>
    </row>
    <row r="34" spans="1:13" s="17" customFormat="1" ht="15">
      <c r="A34" s="2408"/>
      <c r="B34" s="2410"/>
      <c r="C34" s="2410"/>
      <c r="D34" s="2410"/>
      <c r="E34" s="2397" t="s">
        <v>151</v>
      </c>
      <c r="F34" s="2397"/>
      <c r="G34" s="2397"/>
      <c r="H34" s="2397"/>
      <c r="I34" s="2397"/>
      <c r="J34" s="2397"/>
      <c r="K34" s="2397"/>
      <c r="L34" s="2403"/>
      <c r="M34" s="2406"/>
    </row>
    <row r="35" spans="1:13" s="17" customFormat="1" ht="67.5">
      <c r="A35" s="2408"/>
      <c r="B35" s="2410"/>
      <c r="C35" s="2410"/>
      <c r="D35" s="2410"/>
      <c r="E35" s="2397"/>
      <c r="F35" s="1800" t="s">
        <v>1240</v>
      </c>
      <c r="G35" s="1765" t="s">
        <v>1245</v>
      </c>
      <c r="H35" s="1765" t="s">
        <v>1246</v>
      </c>
      <c r="I35" s="1765" t="s">
        <v>1227</v>
      </c>
      <c r="J35" s="1765" t="s">
        <v>1228</v>
      </c>
      <c r="K35" s="1800" t="s">
        <v>1229</v>
      </c>
      <c r="L35" s="2404"/>
      <c r="M35" s="2406"/>
    </row>
    <row r="36" spans="1:13" s="20" customFormat="1" ht="13.5">
      <c r="A36" s="18">
        <v>1</v>
      </c>
      <c r="B36" s="2411">
        <v>2</v>
      </c>
      <c r="C36" s="2411"/>
      <c r="D36" s="2411"/>
      <c r="E36" s="1188">
        <v>3</v>
      </c>
      <c r="F36" s="1188">
        <v>6</v>
      </c>
      <c r="G36" s="1799">
        <v>7</v>
      </c>
      <c r="H36" s="1189">
        <v>8</v>
      </c>
      <c r="I36" s="1188">
        <v>9</v>
      </c>
      <c r="J36" s="1799">
        <v>10</v>
      </c>
      <c r="K36" s="1189">
        <v>11</v>
      </c>
      <c r="L36" s="1799">
        <v>12</v>
      </c>
      <c r="M36" s="1199">
        <v>13</v>
      </c>
    </row>
    <row r="37" spans="1:13" s="604" customFormat="1" ht="15.75">
      <c r="A37" s="1801"/>
      <c r="B37" s="2399" t="s">
        <v>153</v>
      </c>
      <c r="C37" s="2399"/>
      <c r="D37" s="2399"/>
      <c r="E37" s="1181"/>
      <c r="F37" s="1181"/>
      <c r="G37" s="1181"/>
      <c r="H37" s="1181"/>
      <c r="I37" s="1181"/>
      <c r="J37" s="1181"/>
      <c r="K37" s="1181"/>
      <c r="L37" s="1182">
        <f>SUM(E37:K37)</f>
        <v>0</v>
      </c>
      <c r="M37" s="1802"/>
    </row>
    <row r="38" spans="1:13" s="5" customFormat="1" ht="15.75">
      <c r="A38" s="2398" t="s">
        <v>154</v>
      </c>
      <c r="B38" s="2399"/>
      <c r="C38" s="2399"/>
      <c r="D38" s="2399"/>
      <c r="E38" s="2399"/>
      <c r="F38" s="2399"/>
      <c r="G38" s="2399"/>
      <c r="H38" s="2399"/>
      <c r="I38" s="2399"/>
      <c r="J38" s="2400"/>
      <c r="K38" s="2400"/>
      <c r="L38" s="2400"/>
      <c r="M38" s="2401"/>
    </row>
    <row r="39" spans="1:13" s="5" customFormat="1" ht="15">
      <c r="A39" s="6">
        <v>1</v>
      </c>
      <c r="B39" s="2377" t="s">
        <v>112</v>
      </c>
      <c r="C39" s="2377"/>
      <c r="D39" s="2377"/>
      <c r="E39" s="398"/>
      <c r="F39" s="398"/>
      <c r="G39" s="398"/>
      <c r="H39" s="398"/>
      <c r="I39" s="398"/>
      <c r="J39" s="398"/>
      <c r="K39" s="398"/>
      <c r="L39" s="398"/>
      <c r="M39" s="135" t="s">
        <v>1281</v>
      </c>
    </row>
    <row r="40" spans="1:13" s="5" customFormat="1" ht="15">
      <c r="A40" s="6">
        <v>2</v>
      </c>
      <c r="B40" s="2377" t="s">
        <v>36</v>
      </c>
      <c r="C40" s="2377"/>
      <c r="D40" s="2377"/>
      <c r="E40" s="398"/>
      <c r="F40" s="398"/>
      <c r="G40" s="398"/>
      <c r="H40" s="398"/>
      <c r="I40" s="398"/>
      <c r="J40" s="398"/>
      <c r="K40" s="398"/>
      <c r="L40" s="398"/>
      <c r="M40" s="135" t="s">
        <v>1281</v>
      </c>
    </row>
    <row r="41" spans="1:13" s="5" customFormat="1" ht="15">
      <c r="A41" s="6">
        <v>3</v>
      </c>
      <c r="B41" s="2377" t="s">
        <v>37</v>
      </c>
      <c r="C41" s="2377"/>
      <c r="D41" s="2377"/>
      <c r="E41" s="398"/>
      <c r="F41" s="398"/>
      <c r="G41" s="398"/>
      <c r="H41" s="398"/>
      <c r="I41" s="398"/>
      <c r="J41" s="398"/>
      <c r="K41" s="398"/>
      <c r="L41" s="398"/>
      <c r="M41" s="135" t="s">
        <v>1281</v>
      </c>
    </row>
    <row r="42" spans="1:13" s="5" customFormat="1" ht="15">
      <c r="A42" s="6">
        <v>4</v>
      </c>
      <c r="B42" s="2377" t="s">
        <v>132</v>
      </c>
      <c r="C42" s="2377"/>
      <c r="D42" s="2377"/>
      <c r="E42" s="398"/>
      <c r="F42" s="398"/>
      <c r="G42" s="398"/>
      <c r="H42" s="398"/>
      <c r="I42" s="398"/>
      <c r="J42" s="398"/>
      <c r="K42" s="398"/>
      <c r="L42" s="398"/>
      <c r="M42" s="135" t="s">
        <v>1281</v>
      </c>
    </row>
    <row r="43" spans="1:13" s="5" customFormat="1" ht="15">
      <c r="A43" s="127">
        <v>5</v>
      </c>
      <c r="B43" s="2377" t="s">
        <v>133</v>
      </c>
      <c r="C43" s="2377"/>
      <c r="D43" s="2377"/>
      <c r="E43" s="398"/>
      <c r="F43" s="398"/>
      <c r="G43" s="398"/>
      <c r="H43" s="398"/>
      <c r="I43" s="398"/>
      <c r="J43" s="398"/>
      <c r="K43" s="398"/>
      <c r="L43" s="398"/>
      <c r="M43" s="135" t="s">
        <v>1281</v>
      </c>
    </row>
    <row r="44" spans="1:13" s="5" customFormat="1" ht="15">
      <c r="A44" s="127">
        <v>6</v>
      </c>
      <c r="B44" s="2377" t="s">
        <v>113</v>
      </c>
      <c r="C44" s="2377"/>
      <c r="D44" s="2377"/>
      <c r="E44" s="398"/>
      <c r="F44" s="398"/>
      <c r="G44" s="398"/>
      <c r="H44" s="398"/>
      <c r="I44" s="398"/>
      <c r="J44" s="398"/>
      <c r="K44" s="398"/>
      <c r="L44" s="398"/>
      <c r="M44" s="135" t="s">
        <v>1281</v>
      </c>
    </row>
    <row r="45" spans="1:13" s="5" customFormat="1" ht="15">
      <c r="A45" s="6">
        <v>7</v>
      </c>
      <c r="B45" s="2377" t="s">
        <v>38</v>
      </c>
      <c r="C45" s="2377"/>
      <c r="D45" s="2377"/>
      <c r="E45" s="609"/>
      <c r="F45" s="609"/>
      <c r="G45" s="609"/>
      <c r="H45" s="609"/>
      <c r="I45" s="609"/>
      <c r="J45" s="609"/>
      <c r="K45" s="609"/>
      <c r="L45" s="398"/>
      <c r="M45" s="135" t="s">
        <v>1281</v>
      </c>
    </row>
    <row r="46" spans="1:13" s="5" customFormat="1" ht="15">
      <c r="A46" s="6">
        <v>8</v>
      </c>
      <c r="B46" s="2377" t="s">
        <v>39</v>
      </c>
      <c r="C46" s="2377"/>
      <c r="D46" s="2377"/>
      <c r="E46" s="398"/>
      <c r="F46" s="398"/>
      <c r="G46" s="398"/>
      <c r="H46" s="398"/>
      <c r="I46" s="398"/>
      <c r="J46" s="398"/>
      <c r="K46" s="398"/>
      <c r="L46" s="398"/>
      <c r="M46" s="135" t="s">
        <v>1281</v>
      </c>
    </row>
    <row r="47" spans="1:13" s="5" customFormat="1" ht="15">
      <c r="A47" s="6">
        <v>9</v>
      </c>
      <c r="B47" s="2377" t="s">
        <v>40</v>
      </c>
      <c r="C47" s="2377"/>
      <c r="D47" s="2377"/>
      <c r="E47" s="398"/>
      <c r="F47" s="398"/>
      <c r="G47" s="398"/>
      <c r="H47" s="398"/>
      <c r="I47" s="398"/>
      <c r="J47" s="398"/>
      <c r="K47" s="398"/>
      <c r="L47" s="398"/>
      <c r="M47" s="135" t="s">
        <v>1281</v>
      </c>
    </row>
    <row r="48" spans="1:13" s="5" customFormat="1" ht="15">
      <c r="A48" s="6">
        <v>10</v>
      </c>
      <c r="B48" s="2377" t="s">
        <v>41</v>
      </c>
      <c r="C48" s="2377"/>
      <c r="D48" s="2377"/>
      <c r="E48" s="398"/>
      <c r="F48" s="398"/>
      <c r="G48" s="398"/>
      <c r="H48" s="398"/>
      <c r="I48" s="398"/>
      <c r="J48" s="398"/>
      <c r="K48" s="398"/>
      <c r="L48" s="398"/>
      <c r="M48" s="135" t="s">
        <v>1281</v>
      </c>
    </row>
    <row r="49" spans="1:14" s="5" customFormat="1" ht="14.25">
      <c r="A49" s="8">
        <v>11</v>
      </c>
      <c r="B49" s="2379" t="s">
        <v>114</v>
      </c>
      <c r="C49" s="2379"/>
      <c r="D49" s="2379"/>
      <c r="E49" s="355">
        <f t="shared" ref="E49:K49" si="0">SUM(E39:E48)</f>
        <v>0</v>
      </c>
      <c r="F49" s="521">
        <f>SUM(F39:F48)</f>
        <v>0</v>
      </c>
      <c r="G49" s="521">
        <f>SUM(G39:G48)</f>
        <v>0</v>
      </c>
      <c r="H49" s="521">
        <f>SUM(H39:H48)</f>
        <v>0</v>
      </c>
      <c r="I49" s="521">
        <f t="shared" si="0"/>
        <v>0</v>
      </c>
      <c r="J49" s="521">
        <f t="shared" si="0"/>
        <v>0</v>
      </c>
      <c r="K49" s="521">
        <f t="shared" si="0"/>
        <v>0</v>
      </c>
      <c r="L49" s="521">
        <f>SUM(L39:L48)</f>
        <v>0</v>
      </c>
      <c r="M49" s="22"/>
    </row>
    <row r="50" spans="1:14" s="5" customFormat="1" ht="15">
      <c r="A50" s="2391" t="s">
        <v>17</v>
      </c>
      <c r="B50" s="2392"/>
      <c r="C50" s="2392"/>
      <c r="D50" s="2392"/>
      <c r="E50" s="2392"/>
      <c r="F50" s="2392"/>
      <c r="G50" s="2392"/>
      <c r="H50" s="2392"/>
      <c r="I50" s="2392"/>
      <c r="J50" s="2393"/>
      <c r="K50" s="2393"/>
      <c r="L50" s="2393"/>
      <c r="M50" s="2394"/>
    </row>
    <row r="51" spans="1:14" s="5" customFormat="1" ht="15">
      <c r="A51" s="9">
        <v>12</v>
      </c>
      <c r="B51" s="2377" t="s">
        <v>376</v>
      </c>
      <c r="C51" s="2377"/>
      <c r="D51" s="2377"/>
      <c r="E51" s="398"/>
      <c r="F51" s="398"/>
      <c r="G51" s="398"/>
      <c r="H51" s="398"/>
      <c r="I51" s="398"/>
      <c r="J51" s="398"/>
      <c r="K51" s="398"/>
      <c r="L51" s="398"/>
      <c r="M51" s="135" t="s">
        <v>1281</v>
      </c>
    </row>
    <row r="52" spans="1:14" s="7" customFormat="1" ht="15">
      <c r="A52" s="8">
        <v>13</v>
      </c>
      <c r="B52" s="2379" t="s">
        <v>42</v>
      </c>
      <c r="C52" s="2379"/>
      <c r="D52" s="2379"/>
      <c r="E52" s="355">
        <f>SUM(E51)</f>
        <v>0</v>
      </c>
      <c r="F52" s="355">
        <f t="shared" ref="F52:L52" si="1">SUM(F51)</f>
        <v>0</v>
      </c>
      <c r="G52" s="355">
        <f t="shared" si="1"/>
        <v>0</v>
      </c>
      <c r="H52" s="355">
        <f t="shared" si="1"/>
        <v>0</v>
      </c>
      <c r="I52" s="355">
        <f t="shared" si="1"/>
        <v>0</v>
      </c>
      <c r="J52" s="355">
        <f t="shared" si="1"/>
        <v>0</v>
      </c>
      <c r="K52" s="355">
        <f t="shared" si="1"/>
        <v>0</v>
      </c>
      <c r="L52" s="355">
        <f t="shared" si="1"/>
        <v>0</v>
      </c>
      <c r="M52" s="22"/>
    </row>
    <row r="53" spans="1:14" s="7" customFormat="1" ht="15">
      <c r="A53" s="2391" t="s">
        <v>43</v>
      </c>
      <c r="B53" s="2392"/>
      <c r="C53" s="2392"/>
      <c r="D53" s="2392"/>
      <c r="E53" s="2392"/>
      <c r="F53" s="2392"/>
      <c r="G53" s="2392"/>
      <c r="H53" s="2392"/>
      <c r="I53" s="2392"/>
      <c r="J53" s="2393"/>
      <c r="K53" s="2393"/>
      <c r="L53" s="2393"/>
      <c r="M53" s="2394"/>
    </row>
    <row r="54" spans="1:14" s="5" customFormat="1" ht="15">
      <c r="A54" s="6">
        <v>14</v>
      </c>
      <c r="B54" s="2396" t="s">
        <v>115</v>
      </c>
      <c r="C54" s="2396"/>
      <c r="D54" s="2396"/>
      <c r="E54" s="520"/>
      <c r="F54" s="520"/>
      <c r="G54" s="520"/>
      <c r="H54" s="520"/>
      <c r="I54" s="520"/>
      <c r="J54" s="520"/>
      <c r="K54" s="398"/>
      <c r="L54" s="398"/>
      <c r="M54" s="135"/>
    </row>
    <row r="55" spans="1:14" s="5" customFormat="1" ht="15">
      <c r="A55" s="6">
        <v>15</v>
      </c>
      <c r="B55" s="2396" t="s">
        <v>584</v>
      </c>
      <c r="C55" s="2396"/>
      <c r="D55" s="2396"/>
      <c r="E55" s="520"/>
      <c r="F55" s="398"/>
      <c r="G55" s="398"/>
      <c r="H55" s="398"/>
      <c r="I55" s="398"/>
      <c r="J55" s="398"/>
      <c r="K55" s="398"/>
      <c r="L55" s="398"/>
      <c r="M55" s="135"/>
    </row>
    <row r="56" spans="1:14" s="5" customFormat="1" ht="15">
      <c r="A56" s="6">
        <v>16</v>
      </c>
      <c r="B56" s="2377" t="s">
        <v>377</v>
      </c>
      <c r="C56" s="2377"/>
      <c r="D56" s="2377"/>
      <c r="E56" s="520"/>
      <c r="F56" s="520"/>
      <c r="G56" s="520"/>
      <c r="H56" s="520"/>
      <c r="I56" s="520"/>
      <c r="J56" s="520"/>
      <c r="K56" s="520"/>
      <c r="L56" s="398"/>
      <c r="M56" s="135"/>
    </row>
    <row r="57" spans="1:14" s="5" customFormat="1" ht="15">
      <c r="A57" s="6"/>
      <c r="B57" s="1919"/>
      <c r="C57" s="2377" t="s">
        <v>1282</v>
      </c>
      <c r="D57" s="2377"/>
      <c r="E57" s="520"/>
      <c r="F57" s="520"/>
      <c r="G57" s="520"/>
      <c r="H57" s="520"/>
      <c r="I57" s="520"/>
      <c r="J57" s="520"/>
      <c r="K57" s="520"/>
      <c r="L57" s="398"/>
      <c r="M57" s="135"/>
    </row>
    <row r="58" spans="1:14" s="5" customFormat="1" ht="15">
      <c r="A58" s="6"/>
      <c r="B58" s="1919"/>
      <c r="C58" s="2384" t="s">
        <v>1283</v>
      </c>
      <c r="D58" s="2385"/>
      <c r="E58" s="520"/>
      <c r="F58" s="520"/>
      <c r="G58" s="520"/>
      <c r="H58" s="520"/>
      <c r="I58" s="520"/>
      <c r="J58" s="520"/>
      <c r="K58" s="520"/>
      <c r="L58" s="398"/>
      <c r="M58" s="135"/>
    </row>
    <row r="59" spans="1:14" s="5" customFormat="1" ht="15">
      <c r="A59" s="6"/>
      <c r="B59" s="1919"/>
      <c r="C59" s="2377" t="s">
        <v>1284</v>
      </c>
      <c r="D59" s="2377"/>
      <c r="E59" s="520"/>
      <c r="F59" s="520"/>
      <c r="G59" s="520"/>
      <c r="H59" s="520"/>
      <c r="I59" s="520"/>
      <c r="J59" s="520"/>
      <c r="K59" s="520"/>
      <c r="L59" s="398"/>
      <c r="M59" s="135"/>
    </row>
    <row r="60" spans="1:14" s="5" customFormat="1" ht="15">
      <c r="A60" s="6"/>
      <c r="B60" s="1919"/>
      <c r="C60" s="2384" t="s">
        <v>1288</v>
      </c>
      <c r="D60" s="2385"/>
      <c r="E60" s="520"/>
      <c r="F60" s="520"/>
      <c r="G60" s="520"/>
      <c r="H60" s="520"/>
      <c r="I60" s="520"/>
      <c r="J60" s="520"/>
      <c r="K60" s="520"/>
      <c r="L60" s="398"/>
      <c r="M60" s="135"/>
    </row>
    <row r="61" spans="1:14" s="7" customFormat="1" ht="15">
      <c r="A61" s="6"/>
      <c r="B61" s="1792"/>
      <c r="C61" s="2377" t="s">
        <v>1285</v>
      </c>
      <c r="D61" s="2377"/>
      <c r="E61" s="398"/>
      <c r="F61" s="398"/>
      <c r="G61" s="398"/>
      <c r="H61" s="398"/>
      <c r="I61" s="398"/>
      <c r="J61" s="398"/>
      <c r="K61" s="398"/>
      <c r="L61" s="398"/>
      <c r="M61" s="378"/>
      <c r="N61" s="5"/>
    </row>
    <row r="62" spans="1:14" s="7" customFormat="1" ht="14.45" customHeight="1">
      <c r="A62" s="6"/>
      <c r="B62" s="1792"/>
      <c r="C62" s="2377" t="s">
        <v>1241</v>
      </c>
      <c r="D62" s="2377"/>
      <c r="E62" s="398"/>
      <c r="F62" s="398"/>
      <c r="G62" s="398"/>
      <c r="H62" s="398"/>
      <c r="I62" s="398"/>
      <c r="J62" s="398"/>
      <c r="K62" s="398"/>
      <c r="L62" s="398"/>
      <c r="M62" s="378"/>
      <c r="N62" s="5"/>
    </row>
    <row r="63" spans="1:14" s="5" customFormat="1" ht="15">
      <c r="A63" s="6">
        <v>18</v>
      </c>
      <c r="B63" s="2377" t="s">
        <v>583</v>
      </c>
      <c r="C63" s="2377"/>
      <c r="D63" s="2377"/>
      <c r="E63" s="1764"/>
      <c r="F63" s="520"/>
      <c r="G63" s="520"/>
      <c r="H63" s="520"/>
      <c r="I63" s="520"/>
      <c r="J63" s="520"/>
      <c r="K63" s="520"/>
      <c r="L63" s="398"/>
      <c r="M63" s="135"/>
    </row>
    <row r="64" spans="1:14" s="7" customFormat="1" ht="15">
      <c r="A64" s="6">
        <v>19</v>
      </c>
      <c r="B64" s="2377" t="s">
        <v>721</v>
      </c>
      <c r="C64" s="2377"/>
      <c r="D64" s="2377"/>
      <c r="E64" s="520"/>
      <c r="F64" s="520"/>
      <c r="G64" s="520"/>
      <c r="H64" s="520"/>
      <c r="I64" s="520"/>
      <c r="J64" s="520"/>
      <c r="K64" s="520"/>
      <c r="L64" s="398"/>
      <c r="M64" s="135"/>
    </row>
    <row r="65" spans="1:13" s="7" customFormat="1" ht="15">
      <c r="A65" s="6">
        <v>21</v>
      </c>
      <c r="B65" s="2377" t="s">
        <v>597</v>
      </c>
      <c r="C65" s="2377"/>
      <c r="D65" s="2377"/>
      <c r="E65" s="520"/>
      <c r="F65" s="520"/>
      <c r="G65" s="520"/>
      <c r="H65" s="520"/>
      <c r="I65" s="520"/>
      <c r="J65" s="520"/>
      <c r="K65" s="520"/>
      <c r="L65" s="398"/>
      <c r="M65" s="135"/>
    </row>
    <row r="66" spans="1:13" s="5" customFormat="1" ht="15">
      <c r="A66" s="6">
        <v>22</v>
      </c>
      <c r="B66" s="2377" t="s">
        <v>45</v>
      </c>
      <c r="C66" s="2377"/>
      <c r="D66" s="2377"/>
      <c r="E66" s="520"/>
      <c r="F66" s="398"/>
      <c r="G66" s="398"/>
      <c r="H66" s="398"/>
      <c r="I66" s="398"/>
      <c r="J66" s="398"/>
      <c r="K66" s="520"/>
      <c r="L66" s="398"/>
      <c r="M66" s="135"/>
    </row>
    <row r="67" spans="1:13" s="5" customFormat="1" ht="14.45" customHeight="1">
      <c r="A67" s="6">
        <v>24</v>
      </c>
      <c r="B67" s="2377" t="s">
        <v>1226</v>
      </c>
      <c r="C67" s="2377"/>
      <c r="D67" s="2377"/>
      <c r="E67" s="520"/>
      <c r="F67" s="398"/>
      <c r="G67" s="398"/>
      <c r="H67" s="398"/>
      <c r="I67" s="398"/>
      <c r="J67" s="398"/>
      <c r="K67" s="398"/>
      <c r="L67" s="398"/>
      <c r="M67" s="135"/>
    </row>
    <row r="68" spans="1:13" s="5" customFormat="1" ht="14.45" customHeight="1">
      <c r="A68" s="6">
        <v>25</v>
      </c>
      <c r="B68" s="2377" t="s">
        <v>46</v>
      </c>
      <c r="C68" s="2377"/>
      <c r="D68" s="2377"/>
      <c r="E68" s="398"/>
      <c r="F68" s="398"/>
      <c r="G68" s="398"/>
      <c r="H68" s="398"/>
      <c r="I68" s="398"/>
      <c r="K68" s="398"/>
      <c r="L68" s="398"/>
      <c r="M68" s="135"/>
    </row>
    <row r="69" spans="1:13" s="5" customFormat="1" ht="14.45" customHeight="1">
      <c r="A69" s="6">
        <v>26</v>
      </c>
      <c r="B69" s="2377" t="s">
        <v>807</v>
      </c>
      <c r="C69" s="2377"/>
      <c r="D69" s="2377"/>
      <c r="E69" s="398"/>
      <c r="F69" s="398"/>
      <c r="G69" s="398"/>
      <c r="H69" s="398"/>
      <c r="I69" s="398"/>
      <c r="J69" s="398"/>
      <c r="K69" s="398"/>
      <c r="L69" s="398"/>
      <c r="M69" s="135"/>
    </row>
    <row r="70" spans="1:13" s="5" customFormat="1" ht="14.45" customHeight="1">
      <c r="A70" s="6">
        <v>27</v>
      </c>
      <c r="B70" s="2384" t="s">
        <v>1225</v>
      </c>
      <c r="C70" s="2387"/>
      <c r="D70" s="2385"/>
      <c r="E70" s="1764"/>
      <c r="F70" s="1764"/>
      <c r="G70" s="1764"/>
      <c r="H70" s="1764"/>
      <c r="I70" s="1764"/>
      <c r="J70" s="398"/>
      <c r="K70" s="1764"/>
      <c r="L70" s="398"/>
      <c r="M70" s="135"/>
    </row>
    <row r="71" spans="1:13" s="5" customFormat="1" ht="14.45" customHeight="1">
      <c r="A71" s="8">
        <v>28</v>
      </c>
      <c r="B71" s="2388" t="s">
        <v>47</v>
      </c>
      <c r="C71" s="2389"/>
      <c r="D71" s="2390"/>
      <c r="E71" s="407"/>
      <c r="F71" s="407"/>
      <c r="G71" s="407"/>
      <c r="H71" s="407"/>
      <c r="I71" s="407"/>
      <c r="J71" s="407"/>
      <c r="K71" s="407"/>
      <c r="L71" s="407"/>
      <c r="M71" s="136"/>
    </row>
    <row r="72" spans="1:13" s="5" customFormat="1" ht="28.5" customHeight="1">
      <c r="A72" s="8">
        <v>29</v>
      </c>
      <c r="B72" s="2395" t="s">
        <v>173</v>
      </c>
      <c r="C72" s="2395"/>
      <c r="D72" s="2395"/>
      <c r="E72" s="360"/>
      <c r="F72" s="360"/>
      <c r="G72" s="360"/>
      <c r="H72" s="360"/>
      <c r="I72" s="360"/>
      <c r="J72" s="360"/>
      <c r="K72" s="360"/>
      <c r="L72" s="360"/>
      <c r="M72" s="24"/>
    </row>
    <row r="73" spans="1:13" s="5" customFormat="1" ht="15">
      <c r="A73" s="2391" t="s">
        <v>48</v>
      </c>
      <c r="B73" s="2392"/>
      <c r="C73" s="2392"/>
      <c r="D73" s="2392"/>
      <c r="E73" s="2392"/>
      <c r="F73" s="2392"/>
      <c r="G73" s="2392"/>
      <c r="H73" s="2392"/>
      <c r="I73" s="2392"/>
      <c r="J73" s="2393"/>
      <c r="K73" s="2393"/>
      <c r="L73" s="2393"/>
      <c r="M73" s="2394"/>
    </row>
    <row r="74" spans="1:13" s="5" customFormat="1" ht="15">
      <c r="A74" s="9">
        <f>A71+1</f>
        <v>29</v>
      </c>
      <c r="B74" s="2377" t="s">
        <v>116</v>
      </c>
      <c r="C74" s="2377"/>
      <c r="D74" s="2377"/>
      <c r="E74" s="360"/>
      <c r="F74" s="360"/>
      <c r="G74" s="360"/>
      <c r="H74" s="360"/>
      <c r="I74" s="360"/>
      <c r="J74" s="360"/>
      <c r="K74" s="360"/>
      <c r="L74" s="398"/>
      <c r="M74" s="135" t="s">
        <v>1289</v>
      </c>
    </row>
    <row r="75" spans="1:13" s="5" customFormat="1" ht="15">
      <c r="A75" s="9">
        <f>A74+1</f>
        <v>30</v>
      </c>
      <c r="B75" s="2377" t="s">
        <v>379</v>
      </c>
      <c r="C75" s="2377"/>
      <c r="D75" s="2377"/>
      <c r="E75" s="360"/>
      <c r="F75" s="360"/>
      <c r="G75" s="360"/>
      <c r="H75" s="360"/>
      <c r="I75" s="360"/>
      <c r="J75" s="360"/>
      <c r="K75" s="360"/>
      <c r="L75" s="398"/>
      <c r="M75" s="135" t="s">
        <v>1289</v>
      </c>
    </row>
    <row r="76" spans="1:13" s="5" customFormat="1" ht="15">
      <c r="A76" s="9">
        <f>A75+1</f>
        <v>31</v>
      </c>
      <c r="B76" s="2377" t="s">
        <v>117</v>
      </c>
      <c r="C76" s="2377"/>
      <c r="D76" s="2377"/>
      <c r="E76" s="360"/>
      <c r="F76" s="360"/>
      <c r="G76" s="360"/>
      <c r="H76" s="360"/>
      <c r="I76" s="360"/>
      <c r="J76" s="360"/>
      <c r="K76" s="360"/>
      <c r="L76" s="398"/>
      <c r="M76" s="135" t="s">
        <v>1289</v>
      </c>
    </row>
    <row r="77" spans="1:13" s="5" customFormat="1" ht="15">
      <c r="A77" s="9">
        <f>A76+1</f>
        <v>32</v>
      </c>
      <c r="B77" s="2377" t="s">
        <v>134</v>
      </c>
      <c r="C77" s="2377"/>
      <c r="D77" s="2377"/>
      <c r="E77" s="360"/>
      <c r="F77" s="360"/>
      <c r="G77" s="360"/>
      <c r="H77" s="360"/>
      <c r="I77" s="360"/>
      <c r="J77" s="360"/>
      <c r="K77" s="360"/>
      <c r="L77" s="398"/>
      <c r="M77" s="135" t="s">
        <v>1289</v>
      </c>
    </row>
    <row r="78" spans="1:13" s="5" customFormat="1" ht="15">
      <c r="A78" s="9">
        <v>29</v>
      </c>
      <c r="B78" s="2377" t="s">
        <v>713</v>
      </c>
      <c r="C78" s="2377"/>
      <c r="D78" s="2377"/>
      <c r="E78" s="360"/>
      <c r="F78" s="360"/>
      <c r="G78" s="360"/>
      <c r="H78" s="360"/>
      <c r="I78" s="360"/>
      <c r="J78" s="360"/>
      <c r="K78" s="360"/>
      <c r="L78" s="398"/>
      <c r="M78" s="135"/>
    </row>
    <row r="79" spans="1:13" s="5" customFormat="1" ht="14.25">
      <c r="A79" s="8">
        <v>30</v>
      </c>
      <c r="B79" s="2379" t="s">
        <v>49</v>
      </c>
      <c r="C79" s="2379"/>
      <c r="D79" s="2379"/>
      <c r="E79" s="355"/>
      <c r="F79" s="355"/>
      <c r="G79" s="355"/>
      <c r="H79" s="355"/>
      <c r="I79" s="355"/>
      <c r="J79" s="355"/>
      <c r="K79" s="355"/>
      <c r="L79" s="355"/>
      <c r="M79" s="136"/>
    </row>
    <row r="80" spans="1:13" s="5" customFormat="1" ht="14.25">
      <c r="A80" s="8">
        <f>A79+1</f>
        <v>31</v>
      </c>
      <c r="B80" s="2379" t="s">
        <v>50</v>
      </c>
      <c r="C80" s="2379"/>
      <c r="D80" s="2379"/>
      <c r="E80" s="355"/>
      <c r="F80" s="355"/>
      <c r="G80" s="355"/>
      <c r="H80" s="355"/>
      <c r="I80" s="355"/>
      <c r="J80" s="355"/>
      <c r="K80" s="355"/>
      <c r="L80" s="355"/>
      <c r="M80" s="136"/>
    </row>
    <row r="81" spans="1:16" s="5" customFormat="1" ht="15">
      <c r="A81" s="6">
        <f>A80+1</f>
        <v>32</v>
      </c>
      <c r="B81" s="2377" t="s">
        <v>1280</v>
      </c>
      <c r="C81" s="2377"/>
      <c r="D81" s="2377"/>
      <c r="E81" s="360"/>
      <c r="F81" s="360"/>
      <c r="G81" s="360"/>
      <c r="H81" s="360"/>
      <c r="I81" s="360"/>
      <c r="J81" s="360"/>
      <c r="K81" s="360"/>
      <c r="L81" s="398"/>
      <c r="M81" s="378"/>
    </row>
    <row r="82" spans="1:16" s="5" customFormat="1" ht="14.25">
      <c r="A82" s="8">
        <f t="shared" ref="A82:A89" si="2">A81+1</f>
        <v>33</v>
      </c>
      <c r="B82" s="2379" t="s">
        <v>118</v>
      </c>
      <c r="C82" s="2379"/>
      <c r="D82" s="2379"/>
      <c r="E82" s="355"/>
      <c r="F82" s="355"/>
      <c r="G82" s="355"/>
      <c r="H82" s="355"/>
      <c r="I82" s="355"/>
      <c r="J82" s="355"/>
      <c r="K82" s="355"/>
      <c r="L82" s="355"/>
      <c r="M82" s="136"/>
    </row>
    <row r="83" spans="1:16" s="5" customFormat="1" ht="15">
      <c r="A83" s="6">
        <f t="shared" si="2"/>
        <v>34</v>
      </c>
      <c r="B83" s="2377" t="s">
        <v>1279</v>
      </c>
      <c r="C83" s="2377"/>
      <c r="D83" s="2377"/>
      <c r="E83" s="360"/>
      <c r="F83" s="360"/>
      <c r="G83" s="360"/>
      <c r="H83" s="360"/>
      <c r="I83" s="360"/>
      <c r="J83" s="360"/>
      <c r="K83" s="360"/>
      <c r="L83" s="398"/>
      <c r="M83" s="378"/>
    </row>
    <row r="84" spans="1:16" s="5" customFormat="1" ht="14.25">
      <c r="A84" s="8">
        <f t="shared" si="2"/>
        <v>35</v>
      </c>
      <c r="B84" s="2379" t="s">
        <v>156</v>
      </c>
      <c r="C84" s="2379"/>
      <c r="D84" s="2379"/>
      <c r="E84" s="355"/>
      <c r="F84" s="355"/>
      <c r="G84" s="355"/>
      <c r="H84" s="355"/>
      <c r="I84" s="355"/>
      <c r="J84" s="355"/>
      <c r="K84" s="355"/>
      <c r="L84" s="355"/>
      <c r="M84" s="22"/>
    </row>
    <row r="85" spans="1:16" s="379" customFormat="1" ht="15">
      <c r="A85" s="6">
        <f t="shared" si="2"/>
        <v>36</v>
      </c>
      <c r="B85" s="2377" t="s">
        <v>378</v>
      </c>
      <c r="C85" s="2380"/>
      <c r="D85" s="2380"/>
      <c r="E85" s="398"/>
      <c r="F85" s="398"/>
      <c r="G85" s="398"/>
      <c r="H85" s="398"/>
      <c r="I85" s="398"/>
      <c r="J85" s="398"/>
      <c r="K85" s="398"/>
      <c r="L85" s="398"/>
      <c r="M85" s="135"/>
    </row>
    <row r="86" spans="1:16" s="379" customFormat="1" ht="14.25">
      <c r="A86" s="8">
        <f t="shared" si="2"/>
        <v>37</v>
      </c>
      <c r="B86" s="2379" t="s">
        <v>50</v>
      </c>
      <c r="C86" s="2379"/>
      <c r="D86" s="2379"/>
      <c r="E86" s="355"/>
      <c r="F86" s="355"/>
      <c r="G86" s="355"/>
      <c r="H86" s="355"/>
      <c r="I86" s="355"/>
      <c r="J86" s="355"/>
      <c r="K86" s="355"/>
      <c r="L86" s="355"/>
      <c r="M86" s="136"/>
    </row>
    <row r="87" spans="1:16" s="128" customFormat="1" ht="14.25">
      <c r="A87" s="8">
        <f t="shared" si="2"/>
        <v>38</v>
      </c>
      <c r="B87" s="2382" t="s">
        <v>51</v>
      </c>
      <c r="C87" s="2382"/>
      <c r="D87" s="2382"/>
      <c r="E87" s="355"/>
      <c r="F87" s="355"/>
      <c r="G87" s="355"/>
      <c r="H87" s="355"/>
      <c r="I87" s="355"/>
      <c r="J87" s="355"/>
      <c r="K87" s="355"/>
      <c r="L87" s="355"/>
      <c r="M87" s="22"/>
    </row>
    <row r="88" spans="1:16" ht="14.25">
      <c r="A88" s="11">
        <f t="shared" si="2"/>
        <v>39</v>
      </c>
      <c r="B88" s="2383" t="s">
        <v>52</v>
      </c>
      <c r="C88" s="2383"/>
      <c r="D88" s="2383"/>
      <c r="E88" s="361">
        <f t="shared" ref="E88:L88" si="3">ROUND(E87*1.2,2)</f>
        <v>0</v>
      </c>
      <c r="F88" s="361">
        <f t="shared" si="3"/>
        <v>0</v>
      </c>
      <c r="G88" s="361">
        <f t="shared" si="3"/>
        <v>0</v>
      </c>
      <c r="H88" s="361">
        <f t="shared" si="3"/>
        <v>0</v>
      </c>
      <c r="I88" s="361">
        <f t="shared" si="3"/>
        <v>0</v>
      </c>
      <c r="J88" s="361">
        <f t="shared" si="3"/>
        <v>0</v>
      </c>
      <c r="K88" s="361">
        <f t="shared" si="3"/>
        <v>0</v>
      </c>
      <c r="L88" s="361">
        <f t="shared" si="3"/>
        <v>0</v>
      </c>
      <c r="M88" s="137"/>
      <c r="N88" s="128"/>
      <c r="O88" s="128"/>
      <c r="P88" s="128"/>
    </row>
    <row r="89" spans="1:16" ht="16.5" thickBot="1">
      <c r="A89" s="25">
        <f t="shared" si="2"/>
        <v>40</v>
      </c>
      <c r="B89" s="2381" t="s">
        <v>119</v>
      </c>
      <c r="C89" s="2381"/>
      <c r="D89" s="2381"/>
      <c r="E89" s="366"/>
      <c r="F89" s="366"/>
      <c r="G89" s="366" t="s">
        <v>155</v>
      </c>
      <c r="H89" s="366" t="s">
        <v>155</v>
      </c>
      <c r="I89" s="366" t="s">
        <v>155</v>
      </c>
      <c r="J89" s="366" t="s">
        <v>155</v>
      </c>
      <c r="K89" s="366" t="e">
        <f>K88/'Расчет ННБ'!E21</f>
        <v>#DIV/0!</v>
      </c>
      <c r="L89" s="640"/>
      <c r="M89" s="138"/>
      <c r="N89" s="128"/>
      <c r="O89" s="128"/>
      <c r="P89" s="128"/>
    </row>
    <row r="90" spans="1:16" s="128" customFormat="1" ht="15.75">
      <c r="A90" s="1005"/>
      <c r="B90" s="1006"/>
      <c r="C90" s="1006"/>
      <c r="D90" s="1006"/>
      <c r="E90" s="1007"/>
      <c r="F90" s="1007"/>
      <c r="G90" s="1007"/>
      <c r="H90" s="1007"/>
      <c r="I90" s="1007"/>
      <c r="J90" s="1007"/>
      <c r="K90" s="1007"/>
      <c r="L90" s="1007"/>
      <c r="M90" s="1008"/>
    </row>
    <row r="91" spans="1:16" s="128" customFormat="1" ht="15.75">
      <c r="A91" s="1005"/>
      <c r="B91" s="1006"/>
      <c r="C91" s="1006"/>
      <c r="D91" s="1006"/>
      <c r="E91" s="1007"/>
      <c r="F91" s="1007"/>
      <c r="G91" s="1007"/>
      <c r="H91" s="1007"/>
      <c r="I91" s="1007"/>
      <c r="J91" s="1007"/>
      <c r="K91" s="1007"/>
      <c r="L91" s="1007"/>
      <c r="M91" s="1008"/>
    </row>
    <row r="92" spans="1:16" s="128" customFormat="1" ht="15.75">
      <c r="A92" s="1005"/>
      <c r="B92" s="1006"/>
      <c r="C92" s="1006"/>
      <c r="D92" s="1006"/>
      <c r="E92" s="1007"/>
      <c r="F92" s="1007"/>
      <c r="G92" s="1007"/>
      <c r="H92" s="1007"/>
      <c r="I92" s="1007"/>
      <c r="J92" s="1007"/>
      <c r="K92" s="1007"/>
      <c r="L92" s="1007"/>
      <c r="M92" s="1008"/>
    </row>
    <row r="93" spans="1:16" ht="15">
      <c r="A93" s="12"/>
      <c r="B93" s="13"/>
      <c r="C93" s="13"/>
      <c r="D93" s="13"/>
      <c r="E93" s="384"/>
      <c r="F93" s="384"/>
      <c r="G93" s="384"/>
      <c r="H93" s="384"/>
      <c r="I93" s="384"/>
      <c r="J93" s="384"/>
      <c r="K93" s="384"/>
      <c r="L93" s="384"/>
      <c r="M93" s="13"/>
    </row>
    <row r="94" spans="1:16" s="77" customFormat="1" ht="33.6" customHeight="1">
      <c r="B94" s="2386" t="e">
        <f>'№5.1Демонтаж БУ'!B76</f>
        <v>#REF!</v>
      </c>
      <c r="C94" s="2386"/>
      <c r="D94" s="2386"/>
      <c r="E94" s="383"/>
      <c r="F94" s="1183" t="e">
        <f>'№2.3 ПНР'!E78</f>
        <v>#REF!</v>
      </c>
      <c r="G94" s="1184"/>
      <c r="H94" s="1184"/>
      <c r="I94" s="1184"/>
      <c r="J94" s="1184"/>
      <c r="K94" s="1184"/>
      <c r="L94" s="1184"/>
      <c r="M94" s="105"/>
    </row>
    <row r="95" spans="1:16" s="77" customFormat="1" ht="15">
      <c r="B95" s="2378" t="s">
        <v>126</v>
      </c>
      <c r="C95" s="2378"/>
      <c r="D95" s="2378"/>
      <c r="E95" s="1769" t="s">
        <v>124</v>
      </c>
      <c r="F95" s="1185" t="s">
        <v>127</v>
      </c>
      <c r="G95" s="1185"/>
      <c r="H95" s="1186"/>
      <c r="I95" s="1186"/>
      <c r="J95" s="1186"/>
      <c r="K95" s="1186"/>
      <c r="L95" s="1186"/>
      <c r="M95" s="453"/>
    </row>
    <row r="96" spans="1:16">
      <c r="A96" s="14"/>
      <c r="B96" s="10"/>
      <c r="C96" s="10"/>
      <c r="D96" s="10"/>
      <c r="E96" s="1187"/>
      <c r="F96" s="1187"/>
      <c r="G96" s="1187"/>
      <c r="H96" s="1187"/>
      <c r="I96" s="1187"/>
      <c r="J96" s="1187"/>
      <c r="K96" s="1187"/>
      <c r="L96" s="1187"/>
      <c r="M96" s="10"/>
    </row>
    <row r="97" spans="5:5">
      <c r="E97" s="1187"/>
    </row>
    <row r="98" spans="5:5">
      <c r="E98" s="1187"/>
    </row>
    <row r="99" spans="5:5">
      <c r="E99" s="1187"/>
    </row>
    <row r="100" spans="5:5">
      <c r="E100" s="1187"/>
    </row>
    <row r="101" spans="5:5">
      <c r="E101" s="1187"/>
    </row>
    <row r="102" spans="5:5">
      <c r="E102" s="1187"/>
    </row>
    <row r="103" spans="5:5">
      <c r="E103" s="1187"/>
    </row>
  </sheetData>
  <mergeCells count="77">
    <mergeCell ref="C57:D57"/>
    <mergeCell ref="C58:D58"/>
    <mergeCell ref="C59:D59"/>
    <mergeCell ref="C60:D60"/>
    <mergeCell ref="B89:D89"/>
    <mergeCell ref="B82:D82"/>
    <mergeCell ref="B71:D71"/>
    <mergeCell ref="B72:D72"/>
    <mergeCell ref="A73:M73"/>
    <mergeCell ref="B74:D74"/>
    <mergeCell ref="B75:D75"/>
    <mergeCell ref="B76:D76"/>
    <mergeCell ref="B77:D77"/>
    <mergeCell ref="B78:D78"/>
    <mergeCell ref="B79:D79"/>
    <mergeCell ref="B80:D80"/>
    <mergeCell ref="B94:D94"/>
    <mergeCell ref="B95:D95"/>
    <mergeCell ref="B83:D83"/>
    <mergeCell ref="B84:D84"/>
    <mergeCell ref="B85:D85"/>
    <mergeCell ref="B86:D86"/>
    <mergeCell ref="B87:D87"/>
    <mergeCell ref="B88:D88"/>
    <mergeCell ref="B81:D81"/>
    <mergeCell ref="B70:D70"/>
    <mergeCell ref="C61:D61"/>
    <mergeCell ref="C62:D62"/>
    <mergeCell ref="B63:D63"/>
    <mergeCell ref="B64:D64"/>
    <mergeCell ref="B65:D65"/>
    <mergeCell ref="B66:D66"/>
    <mergeCell ref="B67:D67"/>
    <mergeCell ref="B68:D68"/>
    <mergeCell ref="B69:D69"/>
    <mergeCell ref="B56:D56"/>
    <mergeCell ref="B45:D45"/>
    <mergeCell ref="B46:D46"/>
    <mergeCell ref="B47:D47"/>
    <mergeCell ref="B48:D48"/>
    <mergeCell ref="B49:D49"/>
    <mergeCell ref="A50:M50"/>
    <mergeCell ref="B51:D51"/>
    <mergeCell ref="B52:D52"/>
    <mergeCell ref="A53:M53"/>
    <mergeCell ref="B54:D54"/>
    <mergeCell ref="B55:D55"/>
    <mergeCell ref="B44:D44"/>
    <mergeCell ref="M33:M35"/>
    <mergeCell ref="E34:E35"/>
    <mergeCell ref="F34:K34"/>
    <mergeCell ref="B36:D36"/>
    <mergeCell ref="B37:D37"/>
    <mergeCell ref="A38:M38"/>
    <mergeCell ref="L33:L35"/>
    <mergeCell ref="B39:D39"/>
    <mergeCell ref="B40:D40"/>
    <mergeCell ref="B41:D41"/>
    <mergeCell ref="B42:D42"/>
    <mergeCell ref="B43:D43"/>
    <mergeCell ref="A25:B25"/>
    <mergeCell ref="A31:D31"/>
    <mergeCell ref="A33:A35"/>
    <mergeCell ref="B33:D35"/>
    <mergeCell ref="E33:K33"/>
    <mergeCell ref="A20:B20"/>
    <mergeCell ref="A3:M3"/>
    <mergeCell ref="A4:M4"/>
    <mergeCell ref="B8:C8"/>
    <mergeCell ref="D8:E8"/>
    <mergeCell ref="A10:D10"/>
    <mergeCell ref="A12:D12"/>
    <mergeCell ref="A14:D14"/>
    <mergeCell ref="A15:C15"/>
    <mergeCell ref="B16:D16"/>
    <mergeCell ref="A18:D18"/>
    <mergeCell ref="A19:E19"/>
  </mergeCells>
  <pageMargins left="0.98425196850393704" right="0.19685039370078741" top="0.39370078740157483" bottom="0.39370078740157483" header="0" footer="0"/>
  <pageSetup paperSize="9" scale="6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opLeftCell="A49" workbookViewId="0">
      <selection activeCell="H80" sqref="H80"/>
    </sheetView>
  </sheetViews>
  <sheetFormatPr defaultRowHeight="12.75"/>
  <cols>
    <col min="1" max="1" width="3.85546875" style="3" customWidth="1"/>
    <col min="2" max="2" width="9" style="1758" customWidth="1"/>
    <col min="3" max="3" width="11.7109375" style="1758" customWidth="1"/>
    <col min="4" max="4" width="42.140625" style="1758" customWidth="1"/>
    <col min="5" max="5" width="16" style="1063" customWidth="1"/>
    <col min="6" max="6" width="15.85546875" style="1063" customWidth="1"/>
    <col min="7" max="7" width="13.28515625" style="1063" customWidth="1"/>
    <col min="8" max="8" width="14.140625" style="1063" customWidth="1"/>
    <col min="9" max="10" width="14.140625" style="1063" hidden="1" customWidth="1"/>
    <col min="11" max="11" width="15.42578125" style="1063" hidden="1" customWidth="1"/>
    <col min="12" max="12" width="16.28515625" style="1063" customWidth="1"/>
    <col min="13" max="13" width="13.7109375" style="1758" customWidth="1"/>
  </cols>
  <sheetData>
    <row r="1" spans="1:13" ht="15">
      <c r="F1" s="1167"/>
      <c r="G1" s="1167"/>
      <c r="H1" s="1167"/>
      <c r="I1" s="1167"/>
      <c r="J1" s="1167"/>
      <c r="K1" s="1167"/>
      <c r="L1" s="1167"/>
      <c r="M1" s="1910" t="s">
        <v>389</v>
      </c>
    </row>
    <row r="3" spans="1:13" ht="16.5">
      <c r="A3" s="2417" t="s">
        <v>390</v>
      </c>
      <c r="B3" s="2417"/>
      <c r="C3" s="2417"/>
      <c r="D3" s="2417"/>
      <c r="E3" s="2417"/>
      <c r="F3" s="2417"/>
      <c r="G3" s="2417"/>
      <c r="H3" s="2417"/>
      <c r="I3" s="2417"/>
      <c r="J3" s="2417"/>
      <c r="K3" s="2417"/>
      <c r="L3" s="2417"/>
      <c r="M3" s="2417"/>
    </row>
    <row r="4" spans="1:13" ht="16.5">
      <c r="A4" s="2418" t="s">
        <v>1290</v>
      </c>
      <c r="B4" s="2418"/>
      <c r="C4" s="2418"/>
      <c r="D4" s="2418"/>
      <c r="E4" s="2418"/>
      <c r="F4" s="2418"/>
      <c r="G4" s="2418"/>
      <c r="H4" s="2418"/>
      <c r="I4" s="2418"/>
      <c r="J4" s="2418"/>
      <c r="K4" s="2418"/>
      <c r="L4" s="2418"/>
      <c r="M4" s="2418"/>
    </row>
    <row r="5" spans="1:13" ht="17.25" thickBot="1">
      <c r="A5" s="516"/>
      <c r="B5" s="516"/>
      <c r="C5" s="516"/>
      <c r="D5" s="516"/>
      <c r="E5" s="1168"/>
      <c r="F5" s="1168"/>
      <c r="G5" s="1168"/>
      <c r="H5" s="1168"/>
      <c r="I5" s="1168"/>
      <c r="J5" s="1168"/>
      <c r="K5" s="1168"/>
      <c r="L5" s="1168"/>
      <c r="M5" s="516"/>
    </row>
    <row r="6" spans="1:13" ht="18" thickTop="1" thickBot="1">
      <c r="A6" s="1921"/>
      <c r="B6" s="516" t="s">
        <v>391</v>
      </c>
      <c r="C6" s="517"/>
      <c r="D6" s="483">
        <f>'Комм пред '!C5</f>
        <v>0</v>
      </c>
      <c r="E6" s="1169"/>
      <c r="F6" s="1169"/>
      <c r="G6" s="1169"/>
      <c r="H6" s="1169"/>
      <c r="I6" s="1169"/>
      <c r="J6" s="1169"/>
      <c r="K6" s="1169"/>
      <c r="L6" s="1169"/>
      <c r="M6" s="1921"/>
    </row>
    <row r="7" spans="1:13" ht="18" thickTop="1" thickBot="1">
      <c r="A7" s="1921"/>
      <c r="B7" s="1921"/>
      <c r="C7" s="1921"/>
      <c r="D7" s="1921"/>
      <c r="E7" s="1169"/>
      <c r="F7" s="1169"/>
      <c r="G7" s="1169"/>
      <c r="H7" s="1169"/>
      <c r="I7" s="1169"/>
      <c r="J7" s="1169"/>
      <c r="K7" s="1169"/>
      <c r="L7" s="1169"/>
      <c r="M7" s="1921"/>
    </row>
    <row r="8" spans="1:13" ht="18" thickTop="1" thickBot="1">
      <c r="A8" s="1921"/>
      <c r="B8" s="2419" t="s">
        <v>386</v>
      </c>
      <c r="C8" s="2419"/>
      <c r="D8" s="2420">
        <f>'Комм пред '!C7</f>
        <v>0</v>
      </c>
      <c r="E8" s="2421"/>
      <c r="F8" s="1169"/>
      <c r="G8" s="1169"/>
      <c r="H8" s="1169"/>
      <c r="I8" s="1169"/>
      <c r="J8" s="1169"/>
      <c r="K8" s="1169"/>
      <c r="L8" s="1169"/>
      <c r="M8" s="1921"/>
    </row>
    <row r="9" spans="1:13" ht="17.25" thickTop="1">
      <c r="A9" s="1920"/>
      <c r="B9" s="1920"/>
      <c r="C9" s="1920"/>
      <c r="D9" s="1921"/>
      <c r="E9" s="1170"/>
      <c r="F9" s="1170"/>
      <c r="G9" s="1170"/>
      <c r="H9" s="1170"/>
      <c r="I9" s="1170"/>
      <c r="J9" s="1170"/>
      <c r="K9" s="1170"/>
      <c r="L9" s="1170"/>
      <c r="M9" s="1920"/>
    </row>
    <row r="10" spans="1:13" ht="15.75">
      <c r="A10" s="2422" t="s">
        <v>392</v>
      </c>
      <c r="B10" s="2422"/>
      <c r="C10" s="2422"/>
      <c r="D10" s="2422"/>
      <c r="E10" s="1768" t="e">
        <f>'Хим. скв 45'!#REF!</f>
        <v>#REF!</v>
      </c>
      <c r="F10" s="1171"/>
      <c r="G10" s="1171"/>
      <c r="H10" s="1171"/>
      <c r="I10" s="1171"/>
      <c r="J10" s="1171"/>
      <c r="K10" s="1171"/>
      <c r="L10" s="1171"/>
      <c r="M10" s="485"/>
    </row>
    <row r="11" spans="1:13" ht="16.5" thickBot="1">
      <c r="A11" s="1922"/>
      <c r="B11" s="1922"/>
      <c r="C11" s="1922"/>
      <c r="D11" s="1922"/>
      <c r="E11" s="1171"/>
      <c r="F11" s="1171"/>
      <c r="G11" s="1171"/>
      <c r="H11" s="1171"/>
      <c r="I11" s="1171"/>
      <c r="J11" s="1171"/>
      <c r="K11" s="1171"/>
      <c r="L11" s="1171"/>
      <c r="M11" s="485"/>
    </row>
    <row r="12" spans="1:13" ht="17.25" thickTop="1" thickBot="1">
      <c r="A12" s="2423" t="s">
        <v>393</v>
      </c>
      <c r="B12" s="2423"/>
      <c r="C12" s="2423"/>
      <c r="D12" s="2423"/>
      <c r="E12" s="498">
        <f>'№2.4.переезд скв. 45'!N7</f>
        <v>0</v>
      </c>
      <c r="F12" s="1172" t="s">
        <v>66</v>
      </c>
      <c r="G12" s="1173"/>
      <c r="H12" s="1173"/>
      <c r="I12" s="1173"/>
      <c r="J12" s="1173"/>
      <c r="K12" s="1173"/>
      <c r="L12" s="1173"/>
      <c r="M12" s="487"/>
    </row>
    <row r="13" spans="1:13" ht="17.25" thickTop="1" thickBot="1">
      <c r="A13" s="1923"/>
      <c r="B13" s="1923"/>
      <c r="C13" s="1923"/>
      <c r="D13" s="1923"/>
      <c r="E13" s="1174"/>
      <c r="F13" s="1173"/>
      <c r="G13" s="1173"/>
      <c r="H13" s="1173"/>
      <c r="I13" s="1173"/>
      <c r="J13" s="1173"/>
      <c r="K13" s="1173"/>
      <c r="L13" s="1173"/>
      <c r="M13" s="487"/>
    </row>
    <row r="14" spans="1:13" ht="17.25" thickTop="1" thickBot="1">
      <c r="A14" s="2424" t="s">
        <v>394</v>
      </c>
      <c r="B14" s="2424"/>
      <c r="C14" s="2424"/>
      <c r="D14" s="2424"/>
      <c r="E14" s="498"/>
      <c r="F14" s="1172" t="s">
        <v>301</v>
      </c>
      <c r="G14" s="1173"/>
      <c r="H14" s="1173"/>
      <c r="I14" s="1173"/>
      <c r="J14" s="1173"/>
      <c r="K14" s="1173"/>
      <c r="L14" s="1173"/>
      <c r="M14" s="487"/>
    </row>
    <row r="15" spans="1:13" ht="17.25" thickTop="1" thickBot="1">
      <c r="A15" s="2425" t="s">
        <v>339</v>
      </c>
      <c r="B15" s="2425"/>
      <c r="C15" s="2425"/>
      <c r="D15" s="1924"/>
      <c r="E15" s="1175"/>
      <c r="F15" s="1173"/>
      <c r="G15" s="1173"/>
      <c r="H15" s="1173"/>
      <c r="I15" s="1173"/>
      <c r="J15" s="1173"/>
      <c r="K15" s="1173"/>
      <c r="L15" s="1173"/>
      <c r="M15" s="487"/>
    </row>
    <row r="16" spans="1:13" ht="17.25" thickTop="1" thickBot="1">
      <c r="A16" s="1262"/>
      <c r="B16" s="2426" t="s">
        <v>387</v>
      </c>
      <c r="C16" s="2426"/>
      <c r="D16" s="2426"/>
      <c r="E16" s="498">
        <f>'Расчет ННБ'!E19</f>
        <v>1095</v>
      </c>
      <c r="F16" s="1171" t="s">
        <v>1</v>
      </c>
      <c r="G16" s="1176"/>
      <c r="H16" s="1176"/>
      <c r="I16" s="1176"/>
      <c r="J16" s="1176"/>
      <c r="K16" s="1176"/>
      <c r="L16" s="1176"/>
      <c r="M16" s="488"/>
    </row>
    <row r="17" spans="1:13" ht="17.25" thickTop="1" thickBot="1">
      <c r="A17" s="1262"/>
      <c r="B17" s="1933"/>
      <c r="C17" s="1933"/>
      <c r="D17" s="1933"/>
      <c r="E17" s="1175"/>
      <c r="F17" s="1176"/>
      <c r="G17" s="1176"/>
      <c r="H17" s="1176"/>
      <c r="I17" s="1176"/>
      <c r="J17" s="1176"/>
      <c r="K17" s="1176"/>
      <c r="L17" s="1176"/>
      <c r="M17" s="488"/>
    </row>
    <row r="18" spans="1:13" ht="17.25" thickTop="1" thickBot="1">
      <c r="A18" s="2424" t="s">
        <v>1230</v>
      </c>
      <c r="B18" s="2424"/>
      <c r="C18" s="2424"/>
      <c r="D18" s="2424"/>
      <c r="E18" s="498"/>
      <c r="F18" s="1171" t="s">
        <v>301</v>
      </c>
      <c r="G18" s="1176"/>
      <c r="H18" s="1176"/>
      <c r="I18" s="1176"/>
      <c r="J18" s="1176"/>
      <c r="K18" s="1176"/>
      <c r="L18" s="1176"/>
      <c r="M18" s="488"/>
    </row>
    <row r="19" spans="1:13" ht="17.25" thickTop="1" thickBot="1">
      <c r="A19" s="2416" t="s">
        <v>603</v>
      </c>
      <c r="B19" s="2416"/>
      <c r="C19" s="2416"/>
      <c r="D19" s="2416"/>
      <c r="E19" s="2416"/>
      <c r="F19" s="1177"/>
      <c r="G19" s="1766" t="s">
        <v>72</v>
      </c>
      <c r="H19" s="1178"/>
      <c r="I19" s="1178"/>
      <c r="J19" s="1178"/>
      <c r="K19" s="1178"/>
      <c r="L19" s="1178"/>
      <c r="M19" s="490"/>
    </row>
    <row r="20" spans="1:13" ht="17.25" thickTop="1" thickBot="1">
      <c r="A20" s="2427" t="s">
        <v>339</v>
      </c>
      <c r="B20" s="2427"/>
      <c r="C20" s="1262"/>
      <c r="D20" s="1262"/>
      <c r="E20" s="1290"/>
      <c r="F20" s="1262"/>
      <c r="G20" s="1178"/>
      <c r="H20" s="1178"/>
      <c r="I20" s="1178"/>
      <c r="J20" s="1178"/>
      <c r="K20" s="1178"/>
      <c r="L20" s="1178"/>
      <c r="M20" s="490"/>
    </row>
    <row r="21" spans="1:13" ht="17.25" thickTop="1" thickBot="1">
      <c r="A21" s="1924"/>
      <c r="B21" s="1925" t="s">
        <v>800</v>
      </c>
      <c r="C21" s="1925"/>
      <c r="D21" s="1925"/>
      <c r="E21" s="1925"/>
      <c r="F21" s="1291">
        <f>E37</f>
        <v>0</v>
      </c>
      <c r="G21" s="1178"/>
      <c r="H21" s="1178"/>
      <c r="I21" s="1178"/>
      <c r="J21" s="1178"/>
      <c r="K21" s="1178"/>
      <c r="L21" s="1178"/>
      <c r="M21" s="490"/>
    </row>
    <row r="22" spans="1:13" ht="17.25" thickTop="1" thickBot="1">
      <c r="A22" s="1924"/>
      <c r="B22" s="1925" t="s">
        <v>801</v>
      </c>
      <c r="C22" s="1925"/>
      <c r="D22" s="1925"/>
      <c r="E22" s="1925"/>
      <c r="F22" s="1291">
        <f>G37</f>
        <v>0</v>
      </c>
      <c r="G22" s="1178"/>
      <c r="H22" s="1178"/>
      <c r="I22" s="1178"/>
      <c r="J22" s="1178"/>
      <c r="K22" s="1178"/>
      <c r="L22" s="1178"/>
      <c r="M22" s="490"/>
    </row>
    <row r="23" spans="1:13" ht="17.25" thickTop="1" thickBot="1">
      <c r="A23" s="1924"/>
      <c r="B23" s="1925" t="s">
        <v>802</v>
      </c>
      <c r="C23" s="1925"/>
      <c r="D23" s="1925"/>
      <c r="E23" s="1925"/>
      <c r="F23" s="1291">
        <f>I37</f>
        <v>0</v>
      </c>
      <c r="G23" s="1178"/>
      <c r="H23" s="1178"/>
      <c r="I23" s="1178"/>
      <c r="J23" s="1178"/>
      <c r="K23" s="1178"/>
      <c r="L23" s="1178"/>
      <c r="M23" s="490"/>
    </row>
    <row r="24" spans="1:13" ht="17.25" thickTop="1" thickBot="1">
      <c r="A24" s="1924"/>
      <c r="B24" s="1925" t="s">
        <v>803</v>
      </c>
      <c r="C24" s="1925"/>
      <c r="D24" s="1925"/>
      <c r="E24" s="1925"/>
      <c r="F24" s="1291">
        <f>F37</f>
        <v>0</v>
      </c>
      <c r="G24" s="1178"/>
      <c r="H24" s="1178"/>
      <c r="I24" s="1178"/>
      <c r="J24" s="1178"/>
      <c r="K24" s="1178"/>
      <c r="L24" s="1178"/>
      <c r="M24" s="490"/>
    </row>
    <row r="25" spans="1:13" ht="17.25" thickTop="1" thickBot="1">
      <c r="A25" s="2427"/>
      <c r="B25" s="2427"/>
      <c r="C25" s="1262"/>
      <c r="D25" s="1262"/>
      <c r="E25" s="1290"/>
      <c r="F25" s="1262"/>
      <c r="G25" s="1178"/>
      <c r="H25" s="1178"/>
      <c r="I25" s="1178"/>
      <c r="J25" s="1178"/>
      <c r="K25" s="1178"/>
      <c r="L25" s="1178"/>
      <c r="M25" s="490"/>
    </row>
    <row r="26" spans="1:13" ht="17.25" thickTop="1" thickBot="1">
      <c r="A26" s="1924"/>
      <c r="B26" s="1925" t="s">
        <v>804</v>
      </c>
      <c r="C26" s="1925"/>
      <c r="D26" s="1925"/>
      <c r="E26" s="1925"/>
      <c r="F26" s="1291"/>
      <c r="G26" s="1178"/>
      <c r="H26" s="1178"/>
      <c r="I26" s="1178"/>
      <c r="J26" s="1178"/>
      <c r="K26" s="1178"/>
      <c r="L26" s="1178"/>
      <c r="M26" s="490"/>
    </row>
    <row r="27" spans="1:13" ht="17.25" thickTop="1" thickBot="1">
      <c r="A27" s="1924"/>
      <c r="B27" s="1925"/>
      <c r="C27" s="1925"/>
      <c r="D27" s="1925"/>
      <c r="E27" s="1925"/>
      <c r="F27" s="1291"/>
      <c r="G27" s="1178"/>
      <c r="H27" s="1178"/>
      <c r="I27" s="1178"/>
      <c r="J27" s="1178"/>
      <c r="K27" s="1178"/>
      <c r="L27" s="1178"/>
      <c r="M27" s="490"/>
    </row>
    <row r="28" spans="1:13" ht="17.25" thickTop="1" thickBot="1">
      <c r="A28" s="1924"/>
      <c r="B28" s="1925" t="s">
        <v>805</v>
      </c>
      <c r="C28" s="1925"/>
      <c r="D28" s="1925"/>
      <c r="E28" s="1925"/>
      <c r="F28" s="1291"/>
      <c r="G28" s="1178"/>
      <c r="H28" s="1178"/>
      <c r="I28" s="1178"/>
      <c r="J28" s="1178"/>
      <c r="K28" s="1178"/>
      <c r="L28" s="1178"/>
      <c r="M28" s="490"/>
    </row>
    <row r="29" spans="1:13" ht="17.25" thickTop="1" thickBot="1">
      <c r="A29" s="1924"/>
      <c r="B29" s="1925" t="s">
        <v>806</v>
      </c>
      <c r="C29" s="1925"/>
      <c r="D29" s="1925"/>
      <c r="E29" s="1925"/>
      <c r="F29" s="1291"/>
      <c r="G29" s="1178"/>
      <c r="H29" s="1178"/>
      <c r="I29" s="1178"/>
      <c r="J29" s="1178"/>
      <c r="K29" s="1178"/>
      <c r="L29" s="1178"/>
      <c r="M29" s="490"/>
    </row>
    <row r="30" spans="1:13" ht="17.25" thickTop="1" thickBot="1">
      <c r="A30" s="1924"/>
      <c r="B30" s="1925"/>
      <c r="C30" s="1925"/>
      <c r="D30" s="1925"/>
      <c r="E30" s="1925"/>
      <c r="F30" s="1178"/>
      <c r="G30" s="1178"/>
      <c r="H30" s="1178"/>
      <c r="I30" s="1178"/>
      <c r="J30" s="1178"/>
      <c r="K30" s="1178"/>
      <c r="L30" s="1178"/>
      <c r="M30" s="490"/>
    </row>
    <row r="31" spans="1:13" ht="17.25" thickTop="1" thickBot="1">
      <c r="A31" s="2415" t="s">
        <v>324</v>
      </c>
      <c r="B31" s="2415"/>
      <c r="C31" s="2415"/>
      <c r="D31" s="2415"/>
      <c r="E31" s="498" t="e">
        <f>E14*30.4/(F19)</f>
        <v>#DIV/0!</v>
      </c>
      <c r="F31" s="1171" t="s">
        <v>323</v>
      </c>
      <c r="G31" s="1171"/>
      <c r="H31" s="1171"/>
      <c r="I31" s="1171"/>
      <c r="J31" s="1171"/>
      <c r="K31" s="1171"/>
      <c r="L31" s="1171"/>
      <c r="M31" s="491"/>
    </row>
    <row r="32" spans="1:13" ht="17.25" thickTop="1" thickBot="1">
      <c r="A32" s="16"/>
      <c r="B32" s="15"/>
      <c r="C32" s="15"/>
      <c r="D32" s="15"/>
      <c r="E32" s="1179"/>
      <c r="F32" s="1179"/>
      <c r="G32" s="1179"/>
      <c r="H32" s="1179"/>
      <c r="I32" s="1179"/>
      <c r="J32" s="1179"/>
      <c r="K32" s="1179"/>
      <c r="L32" s="1179"/>
      <c r="M32" s="15"/>
    </row>
    <row r="33" spans="1:13" ht="15">
      <c r="A33" s="2407" t="s">
        <v>110</v>
      </c>
      <c r="B33" s="2409" t="s">
        <v>34</v>
      </c>
      <c r="C33" s="2409"/>
      <c r="D33" s="2409"/>
      <c r="E33" s="2412" t="s">
        <v>111</v>
      </c>
      <c r="F33" s="2413"/>
      <c r="G33" s="2413"/>
      <c r="H33" s="2413"/>
      <c r="I33" s="2413"/>
      <c r="J33" s="2413"/>
      <c r="K33" s="2414"/>
      <c r="L33" s="2402" t="s">
        <v>183</v>
      </c>
      <c r="M33" s="2405" t="s">
        <v>90</v>
      </c>
    </row>
    <row r="34" spans="1:13" ht="15">
      <c r="A34" s="2408"/>
      <c r="B34" s="2410"/>
      <c r="C34" s="2410"/>
      <c r="D34" s="2410"/>
      <c r="E34" s="2397" t="s">
        <v>151</v>
      </c>
      <c r="F34" s="2397"/>
      <c r="G34" s="2397"/>
      <c r="H34" s="2397"/>
      <c r="I34" s="2397"/>
      <c r="J34" s="2397"/>
      <c r="K34" s="2397"/>
      <c r="L34" s="2403"/>
      <c r="M34" s="2406"/>
    </row>
    <row r="35" spans="1:13" ht="67.5">
      <c r="A35" s="2408"/>
      <c r="B35" s="2410"/>
      <c r="C35" s="2410"/>
      <c r="D35" s="2410"/>
      <c r="E35" s="2397"/>
      <c r="F35" s="1927" t="s">
        <v>1240</v>
      </c>
      <c r="G35" s="1765" t="s">
        <v>1245</v>
      </c>
      <c r="H35" s="1765" t="s">
        <v>1246</v>
      </c>
      <c r="I35" s="1765" t="s">
        <v>1227</v>
      </c>
      <c r="J35" s="1765" t="s">
        <v>1228</v>
      </c>
      <c r="K35" s="1927" t="s">
        <v>1229</v>
      </c>
      <c r="L35" s="2404"/>
      <c r="M35" s="2406"/>
    </row>
    <row r="36" spans="1:13" ht="13.5">
      <c r="A36" s="18">
        <v>1</v>
      </c>
      <c r="B36" s="2411">
        <v>2</v>
      </c>
      <c r="C36" s="2411"/>
      <c r="D36" s="2411"/>
      <c r="E36" s="1188">
        <v>3</v>
      </c>
      <c r="F36" s="1188">
        <v>6</v>
      </c>
      <c r="G36" s="1926">
        <v>7</v>
      </c>
      <c r="H36" s="1189">
        <v>8</v>
      </c>
      <c r="I36" s="1188">
        <v>9</v>
      </c>
      <c r="J36" s="1926">
        <v>10</v>
      </c>
      <c r="K36" s="1189">
        <v>11</v>
      </c>
      <c r="L36" s="1926">
        <v>12</v>
      </c>
      <c r="M36" s="1199">
        <v>13</v>
      </c>
    </row>
    <row r="37" spans="1:13" ht="15.75">
      <c r="A37" s="1928"/>
      <c r="B37" s="2399" t="s">
        <v>153</v>
      </c>
      <c r="C37" s="2399"/>
      <c r="D37" s="2399"/>
      <c r="E37" s="1181"/>
      <c r="F37" s="1181"/>
      <c r="G37" s="1181"/>
      <c r="H37" s="1181"/>
      <c r="I37" s="1181"/>
      <c r="J37" s="1181"/>
      <c r="K37" s="1181"/>
      <c r="L37" s="1182">
        <f>SUM(E37:K37)</f>
        <v>0</v>
      </c>
      <c r="M37" s="1929"/>
    </row>
    <row r="38" spans="1:13" ht="15.75">
      <c r="A38" s="2398" t="s">
        <v>154</v>
      </c>
      <c r="B38" s="2399"/>
      <c r="C38" s="2399"/>
      <c r="D38" s="2399"/>
      <c r="E38" s="2399"/>
      <c r="F38" s="2399"/>
      <c r="G38" s="2399"/>
      <c r="H38" s="2399"/>
      <c r="I38" s="2399"/>
      <c r="J38" s="2400"/>
      <c r="K38" s="2400"/>
      <c r="L38" s="2400"/>
      <c r="M38" s="2401"/>
    </row>
    <row r="39" spans="1:13" ht="15">
      <c r="A39" s="6">
        <v>1</v>
      </c>
      <c r="B39" s="2377" t="s">
        <v>112</v>
      </c>
      <c r="C39" s="2377"/>
      <c r="D39" s="2377"/>
      <c r="E39" s="398"/>
      <c r="F39" s="398"/>
      <c r="G39" s="398"/>
      <c r="H39" s="398"/>
      <c r="I39" s="398"/>
      <c r="J39" s="398"/>
      <c r="K39" s="398"/>
      <c r="L39" s="398"/>
      <c r="M39" s="135" t="s">
        <v>1281</v>
      </c>
    </row>
    <row r="40" spans="1:13" ht="15">
      <c r="A40" s="6">
        <v>2</v>
      </c>
      <c r="B40" s="2377" t="s">
        <v>36</v>
      </c>
      <c r="C40" s="2377"/>
      <c r="D40" s="2377"/>
      <c r="E40" s="398"/>
      <c r="F40" s="398"/>
      <c r="G40" s="398"/>
      <c r="H40" s="398"/>
      <c r="I40" s="398"/>
      <c r="J40" s="398"/>
      <c r="K40" s="398"/>
      <c r="L40" s="398"/>
      <c r="M40" s="135" t="s">
        <v>1281</v>
      </c>
    </row>
    <row r="41" spans="1:13" ht="15">
      <c r="A41" s="6">
        <v>3</v>
      </c>
      <c r="B41" s="2377" t="s">
        <v>37</v>
      </c>
      <c r="C41" s="2377"/>
      <c r="D41" s="2377"/>
      <c r="E41" s="398"/>
      <c r="F41" s="398"/>
      <c r="G41" s="398"/>
      <c r="H41" s="398"/>
      <c r="I41" s="398"/>
      <c r="J41" s="398"/>
      <c r="K41" s="398"/>
      <c r="L41" s="398"/>
      <c r="M41" s="135" t="s">
        <v>1281</v>
      </c>
    </row>
    <row r="42" spans="1:13" ht="15">
      <c r="A42" s="6">
        <v>4</v>
      </c>
      <c r="B42" s="2377" t="s">
        <v>132</v>
      </c>
      <c r="C42" s="2377"/>
      <c r="D42" s="2377"/>
      <c r="E42" s="398"/>
      <c r="F42" s="398"/>
      <c r="G42" s="398"/>
      <c r="H42" s="398"/>
      <c r="I42" s="398"/>
      <c r="J42" s="398"/>
      <c r="K42" s="398"/>
      <c r="L42" s="398"/>
      <c r="M42" s="135" t="s">
        <v>1281</v>
      </c>
    </row>
    <row r="43" spans="1:13" ht="15">
      <c r="A43" s="127">
        <v>5</v>
      </c>
      <c r="B43" s="2377" t="s">
        <v>133</v>
      </c>
      <c r="C43" s="2377"/>
      <c r="D43" s="2377"/>
      <c r="E43" s="398"/>
      <c r="F43" s="398"/>
      <c r="G43" s="398"/>
      <c r="H43" s="398"/>
      <c r="I43" s="398"/>
      <c r="J43" s="398"/>
      <c r="K43" s="398"/>
      <c r="L43" s="398"/>
      <c r="M43" s="135" t="s">
        <v>1281</v>
      </c>
    </row>
    <row r="44" spans="1:13" ht="15">
      <c r="A44" s="127">
        <v>6</v>
      </c>
      <c r="B44" s="2377" t="s">
        <v>113</v>
      </c>
      <c r="C44" s="2377"/>
      <c r="D44" s="2377"/>
      <c r="E44" s="398"/>
      <c r="F44" s="398"/>
      <c r="G44" s="398"/>
      <c r="H44" s="398"/>
      <c r="I44" s="398"/>
      <c r="J44" s="398"/>
      <c r="K44" s="398"/>
      <c r="L44" s="398"/>
      <c r="M44" s="135" t="s">
        <v>1281</v>
      </c>
    </row>
    <row r="45" spans="1:13" ht="15">
      <c r="A45" s="6">
        <v>7</v>
      </c>
      <c r="B45" s="2377" t="s">
        <v>38</v>
      </c>
      <c r="C45" s="2377"/>
      <c r="D45" s="2377"/>
      <c r="E45" s="609"/>
      <c r="F45" s="609"/>
      <c r="G45" s="609"/>
      <c r="H45" s="609"/>
      <c r="I45" s="609"/>
      <c r="J45" s="609"/>
      <c r="K45" s="609"/>
      <c r="L45" s="398"/>
      <c r="M45" s="135" t="s">
        <v>1281</v>
      </c>
    </row>
    <row r="46" spans="1:13" ht="15">
      <c r="A46" s="6">
        <v>8</v>
      </c>
      <c r="B46" s="2377" t="s">
        <v>39</v>
      </c>
      <c r="C46" s="2377"/>
      <c r="D46" s="2377"/>
      <c r="E46" s="398"/>
      <c r="F46" s="398"/>
      <c r="G46" s="398"/>
      <c r="H46" s="398"/>
      <c r="I46" s="398"/>
      <c r="J46" s="398"/>
      <c r="K46" s="398"/>
      <c r="L46" s="398"/>
      <c r="M46" s="135" t="s">
        <v>1281</v>
      </c>
    </row>
    <row r="47" spans="1:13" ht="15">
      <c r="A47" s="6">
        <v>9</v>
      </c>
      <c r="B47" s="2377" t="s">
        <v>40</v>
      </c>
      <c r="C47" s="2377"/>
      <c r="D47" s="2377"/>
      <c r="E47" s="398"/>
      <c r="F47" s="398"/>
      <c r="G47" s="398"/>
      <c r="H47" s="398"/>
      <c r="I47" s="398"/>
      <c r="J47" s="398"/>
      <c r="K47" s="398"/>
      <c r="L47" s="398"/>
      <c r="M47" s="135" t="s">
        <v>1281</v>
      </c>
    </row>
    <row r="48" spans="1:13" ht="15">
      <c r="A48" s="6">
        <v>10</v>
      </c>
      <c r="B48" s="2377" t="s">
        <v>41</v>
      </c>
      <c r="C48" s="2377"/>
      <c r="D48" s="2377"/>
      <c r="E48" s="398"/>
      <c r="F48" s="398"/>
      <c r="G48" s="398"/>
      <c r="H48" s="398"/>
      <c r="I48" s="398"/>
      <c r="J48" s="398"/>
      <c r="K48" s="398"/>
      <c r="L48" s="398"/>
      <c r="M48" s="135" t="s">
        <v>1281</v>
      </c>
    </row>
    <row r="49" spans="1:13" ht="14.25">
      <c r="A49" s="8">
        <v>11</v>
      </c>
      <c r="B49" s="2379" t="s">
        <v>114</v>
      </c>
      <c r="C49" s="2379"/>
      <c r="D49" s="2379"/>
      <c r="E49" s="355">
        <f t="shared" ref="E49:K49" si="0">SUM(E39:E48)</f>
        <v>0</v>
      </c>
      <c r="F49" s="521">
        <f>SUM(F39:F48)</f>
        <v>0</v>
      </c>
      <c r="G49" s="521">
        <f>SUM(G39:G48)</f>
        <v>0</v>
      </c>
      <c r="H49" s="521">
        <f>SUM(H39:H48)</f>
        <v>0</v>
      </c>
      <c r="I49" s="521">
        <f t="shared" si="0"/>
        <v>0</v>
      </c>
      <c r="J49" s="521">
        <f t="shared" si="0"/>
        <v>0</v>
      </c>
      <c r="K49" s="521">
        <f t="shared" si="0"/>
        <v>0</v>
      </c>
      <c r="L49" s="521">
        <f>SUM(L39:L48)</f>
        <v>0</v>
      </c>
      <c r="M49" s="22"/>
    </row>
    <row r="50" spans="1:13" ht="15">
      <c r="A50" s="2391" t="s">
        <v>17</v>
      </c>
      <c r="B50" s="2392"/>
      <c r="C50" s="2392"/>
      <c r="D50" s="2392"/>
      <c r="E50" s="2392"/>
      <c r="F50" s="2392"/>
      <c r="G50" s="2392"/>
      <c r="H50" s="2392"/>
      <c r="I50" s="2392"/>
      <c r="J50" s="2393"/>
      <c r="K50" s="2393"/>
      <c r="L50" s="2393"/>
      <c r="M50" s="2394"/>
    </row>
    <row r="51" spans="1:13" ht="15">
      <c r="A51" s="9">
        <v>12</v>
      </c>
      <c r="B51" s="2377" t="s">
        <v>376</v>
      </c>
      <c r="C51" s="2377"/>
      <c r="D51" s="2377"/>
      <c r="E51" s="398"/>
      <c r="F51" s="398"/>
      <c r="G51" s="398"/>
      <c r="H51" s="398"/>
      <c r="I51" s="398"/>
      <c r="J51" s="398"/>
      <c r="K51" s="398"/>
      <c r="L51" s="398"/>
      <c r="M51" s="135" t="s">
        <v>1281</v>
      </c>
    </row>
    <row r="52" spans="1:13" ht="14.25">
      <c r="A52" s="8">
        <v>13</v>
      </c>
      <c r="B52" s="2379" t="s">
        <v>42</v>
      </c>
      <c r="C52" s="2379"/>
      <c r="D52" s="2379"/>
      <c r="E52" s="355">
        <f>SUM(E51)</f>
        <v>0</v>
      </c>
      <c r="F52" s="355">
        <f t="shared" ref="F52:L52" si="1">SUM(F51)</f>
        <v>0</v>
      </c>
      <c r="G52" s="355">
        <f t="shared" si="1"/>
        <v>0</v>
      </c>
      <c r="H52" s="355">
        <f t="shared" si="1"/>
        <v>0</v>
      </c>
      <c r="I52" s="355">
        <f t="shared" si="1"/>
        <v>0</v>
      </c>
      <c r="J52" s="355">
        <f t="shared" si="1"/>
        <v>0</v>
      </c>
      <c r="K52" s="355">
        <f t="shared" si="1"/>
        <v>0</v>
      </c>
      <c r="L52" s="355">
        <f t="shared" si="1"/>
        <v>0</v>
      </c>
      <c r="M52" s="22"/>
    </row>
    <row r="53" spans="1:13" ht="15">
      <c r="A53" s="2391" t="s">
        <v>43</v>
      </c>
      <c r="B53" s="2392"/>
      <c r="C53" s="2392"/>
      <c r="D53" s="2392"/>
      <c r="E53" s="2392"/>
      <c r="F53" s="2392"/>
      <c r="G53" s="2392"/>
      <c r="H53" s="2392"/>
      <c r="I53" s="2392"/>
      <c r="J53" s="2393"/>
      <c r="K53" s="2393"/>
      <c r="L53" s="2393"/>
      <c r="M53" s="2394"/>
    </row>
    <row r="54" spans="1:13" ht="15">
      <c r="A54" s="6">
        <v>14</v>
      </c>
      <c r="B54" s="2396" t="s">
        <v>115</v>
      </c>
      <c r="C54" s="2396"/>
      <c r="D54" s="2396"/>
      <c r="E54" s="520"/>
      <c r="F54" s="520"/>
      <c r="G54" s="520"/>
      <c r="H54" s="520"/>
      <c r="I54" s="520"/>
      <c r="J54" s="520"/>
      <c r="K54" s="398"/>
      <c r="L54" s="398"/>
      <c r="M54" s="135"/>
    </row>
    <row r="55" spans="1:13" ht="15">
      <c r="A55" s="6">
        <v>15</v>
      </c>
      <c r="B55" s="2396" t="s">
        <v>584</v>
      </c>
      <c r="C55" s="2396"/>
      <c r="D55" s="2396"/>
      <c r="E55" s="520"/>
      <c r="F55" s="398"/>
      <c r="G55" s="398"/>
      <c r="H55" s="398"/>
      <c r="I55" s="398"/>
      <c r="J55" s="398"/>
      <c r="K55" s="398"/>
      <c r="L55" s="398"/>
      <c r="M55" s="135"/>
    </row>
    <row r="56" spans="1:13" ht="15">
      <c r="A56" s="6">
        <v>16</v>
      </c>
      <c r="B56" s="2377" t="s">
        <v>377</v>
      </c>
      <c r="C56" s="2377"/>
      <c r="D56" s="2377"/>
      <c r="E56" s="520"/>
      <c r="F56" s="520"/>
      <c r="G56" s="520"/>
      <c r="H56" s="520"/>
      <c r="I56" s="520"/>
      <c r="J56" s="520"/>
      <c r="K56" s="520"/>
      <c r="L56" s="398"/>
      <c r="M56" s="135"/>
    </row>
    <row r="57" spans="1:13" ht="15">
      <c r="A57" s="6"/>
      <c r="B57" s="1919"/>
      <c r="C57" s="2377" t="s">
        <v>1282</v>
      </c>
      <c r="D57" s="2377"/>
      <c r="E57" s="520"/>
      <c r="F57" s="520"/>
      <c r="G57" s="520"/>
      <c r="H57" s="520"/>
      <c r="I57" s="520"/>
      <c r="J57" s="520"/>
      <c r="K57" s="520"/>
      <c r="L57" s="398"/>
      <c r="M57" s="135"/>
    </row>
    <row r="58" spans="1:13" ht="15">
      <c r="A58" s="6"/>
      <c r="B58" s="1919"/>
      <c r="C58" s="2384" t="s">
        <v>1283</v>
      </c>
      <c r="D58" s="2385"/>
      <c r="E58" s="520"/>
      <c r="F58" s="520"/>
      <c r="G58" s="520"/>
      <c r="H58" s="520"/>
      <c r="I58" s="520"/>
      <c r="J58" s="520"/>
      <c r="K58" s="520"/>
      <c r="L58" s="398"/>
      <c r="M58" s="135"/>
    </row>
    <row r="59" spans="1:13" ht="15">
      <c r="A59" s="6"/>
      <c r="B59" s="1919"/>
      <c r="C59" s="2377" t="s">
        <v>1284</v>
      </c>
      <c r="D59" s="2377"/>
      <c r="E59" s="520"/>
      <c r="F59" s="520"/>
      <c r="G59" s="520"/>
      <c r="H59" s="520"/>
      <c r="I59" s="520"/>
      <c r="J59" s="520"/>
      <c r="K59" s="520"/>
      <c r="L59" s="398"/>
      <c r="M59" s="135"/>
    </row>
    <row r="60" spans="1:13" ht="15">
      <c r="A60" s="6"/>
      <c r="B60" s="1919"/>
      <c r="C60" s="2377" t="s">
        <v>1285</v>
      </c>
      <c r="D60" s="2377"/>
      <c r="E60" s="398"/>
      <c r="F60" s="398"/>
      <c r="G60" s="398"/>
      <c r="H60" s="398"/>
      <c r="I60" s="398"/>
      <c r="J60" s="398"/>
      <c r="K60" s="398"/>
      <c r="L60" s="398"/>
      <c r="M60" s="378"/>
    </row>
    <row r="61" spans="1:13" ht="15">
      <c r="A61" s="6"/>
      <c r="B61" s="1919"/>
      <c r="C61" s="2377" t="s">
        <v>1241</v>
      </c>
      <c r="D61" s="2377"/>
      <c r="E61" s="398"/>
      <c r="F61" s="398"/>
      <c r="G61" s="398"/>
      <c r="H61" s="398"/>
      <c r="I61" s="398"/>
      <c r="J61" s="398"/>
      <c r="K61" s="398"/>
      <c r="L61" s="398"/>
      <c r="M61" s="378"/>
    </row>
    <row r="62" spans="1:13" ht="15">
      <c r="A62" s="6">
        <v>18</v>
      </c>
      <c r="B62" s="2377" t="s">
        <v>583</v>
      </c>
      <c r="C62" s="2377"/>
      <c r="D62" s="2377"/>
      <c r="E62" s="1764"/>
      <c r="F62" s="520"/>
      <c r="G62" s="520"/>
      <c r="H62" s="520"/>
      <c r="I62" s="520"/>
      <c r="J62" s="520"/>
      <c r="K62" s="520"/>
      <c r="L62" s="398"/>
      <c r="M62" s="135"/>
    </row>
    <row r="63" spans="1:13" ht="15">
      <c r="A63" s="6">
        <v>19</v>
      </c>
      <c r="B63" s="2377" t="s">
        <v>721</v>
      </c>
      <c r="C63" s="2377"/>
      <c r="D63" s="2377"/>
      <c r="E63" s="520"/>
      <c r="F63" s="520"/>
      <c r="G63" s="520"/>
      <c r="H63" s="520"/>
      <c r="I63" s="520"/>
      <c r="J63" s="520"/>
      <c r="K63" s="520"/>
      <c r="L63" s="398"/>
      <c r="M63" s="135"/>
    </row>
    <row r="64" spans="1:13" ht="15">
      <c r="A64" s="6">
        <v>21</v>
      </c>
      <c r="B64" s="2377" t="s">
        <v>597</v>
      </c>
      <c r="C64" s="2377"/>
      <c r="D64" s="2377"/>
      <c r="E64" s="520"/>
      <c r="F64" s="520"/>
      <c r="G64" s="520"/>
      <c r="H64" s="520"/>
      <c r="I64" s="520"/>
      <c r="J64" s="520"/>
      <c r="K64" s="520"/>
      <c r="L64" s="398"/>
      <c r="M64" s="135"/>
    </row>
    <row r="65" spans="1:13" ht="15">
      <c r="A65" s="6">
        <v>22</v>
      </c>
      <c r="B65" s="2377" t="s">
        <v>45</v>
      </c>
      <c r="C65" s="2377"/>
      <c r="D65" s="2377"/>
      <c r="E65" s="520"/>
      <c r="F65" s="398"/>
      <c r="G65" s="398"/>
      <c r="H65" s="398"/>
      <c r="I65" s="398"/>
      <c r="J65" s="398"/>
      <c r="K65" s="520"/>
      <c r="L65" s="398"/>
      <c r="M65" s="135"/>
    </row>
    <row r="66" spans="1:13" ht="15">
      <c r="A66" s="6">
        <v>24</v>
      </c>
      <c r="B66" s="2377" t="s">
        <v>1226</v>
      </c>
      <c r="C66" s="2377"/>
      <c r="D66" s="2377"/>
      <c r="E66" s="520"/>
      <c r="F66" s="398"/>
      <c r="G66" s="398"/>
      <c r="H66" s="398"/>
      <c r="I66" s="398"/>
      <c r="J66" s="398"/>
      <c r="K66" s="398"/>
      <c r="L66" s="398"/>
      <c r="M66" s="135"/>
    </row>
    <row r="67" spans="1:13" ht="15">
      <c r="A67" s="6">
        <v>25</v>
      </c>
      <c r="B67" s="2377" t="s">
        <v>46</v>
      </c>
      <c r="C67" s="2377"/>
      <c r="D67" s="2377"/>
      <c r="E67" s="398"/>
      <c r="F67" s="398"/>
      <c r="G67" s="398"/>
      <c r="H67" s="398"/>
      <c r="I67" s="398"/>
      <c r="J67" s="5"/>
      <c r="K67" s="398"/>
      <c r="L67" s="398"/>
      <c r="M67" s="135"/>
    </row>
    <row r="68" spans="1:13" ht="15">
      <c r="A68" s="6">
        <v>26</v>
      </c>
      <c r="B68" s="2377" t="s">
        <v>807</v>
      </c>
      <c r="C68" s="2377"/>
      <c r="D68" s="2377"/>
      <c r="E68" s="398"/>
      <c r="F68" s="398"/>
      <c r="G68" s="398"/>
      <c r="H68" s="398"/>
      <c r="I68" s="398"/>
      <c r="J68" s="398"/>
      <c r="K68" s="398"/>
      <c r="L68" s="398"/>
      <c r="M68" s="135"/>
    </row>
    <row r="69" spans="1:13" ht="15">
      <c r="A69" s="6">
        <v>27</v>
      </c>
      <c r="B69" s="2384" t="s">
        <v>1225</v>
      </c>
      <c r="C69" s="2387"/>
      <c r="D69" s="2385"/>
      <c r="E69" s="1764"/>
      <c r="F69" s="1764"/>
      <c r="G69" s="1764"/>
      <c r="H69" s="1764"/>
      <c r="I69" s="1764"/>
      <c r="J69" s="398"/>
      <c r="K69" s="1764"/>
      <c r="L69" s="398"/>
      <c r="M69" s="135"/>
    </row>
    <row r="70" spans="1:13" ht="14.25">
      <c r="A70" s="8">
        <v>28</v>
      </c>
      <c r="B70" s="2388" t="s">
        <v>47</v>
      </c>
      <c r="C70" s="2389"/>
      <c r="D70" s="2390"/>
      <c r="E70" s="407"/>
      <c r="F70" s="407"/>
      <c r="G70" s="407"/>
      <c r="H70" s="407"/>
      <c r="I70" s="407"/>
      <c r="J70" s="407"/>
      <c r="K70" s="407"/>
      <c r="L70" s="407"/>
      <c r="M70" s="136"/>
    </row>
    <row r="71" spans="1:13" ht="15">
      <c r="A71" s="8">
        <v>29</v>
      </c>
      <c r="B71" s="2395" t="s">
        <v>173</v>
      </c>
      <c r="C71" s="2395"/>
      <c r="D71" s="2395"/>
      <c r="E71" s="360"/>
      <c r="F71" s="360"/>
      <c r="G71" s="360"/>
      <c r="H71" s="360"/>
      <c r="I71" s="360"/>
      <c r="J71" s="360"/>
      <c r="K71" s="360"/>
      <c r="L71" s="360"/>
      <c r="M71" s="24"/>
    </row>
    <row r="72" spans="1:13" ht="15">
      <c r="A72" s="2391" t="s">
        <v>48</v>
      </c>
      <c r="B72" s="2392"/>
      <c r="C72" s="2392"/>
      <c r="D72" s="2392"/>
      <c r="E72" s="2392"/>
      <c r="F72" s="2392"/>
      <c r="G72" s="2392"/>
      <c r="H72" s="2392"/>
      <c r="I72" s="2392"/>
      <c r="J72" s="2393"/>
      <c r="K72" s="2393"/>
      <c r="L72" s="2393"/>
      <c r="M72" s="2394"/>
    </row>
    <row r="73" spans="1:13" ht="15">
      <c r="A73" s="9">
        <f>A70+1</f>
        <v>29</v>
      </c>
      <c r="B73" s="2377" t="s">
        <v>116</v>
      </c>
      <c r="C73" s="2377"/>
      <c r="D73" s="2377"/>
      <c r="E73" s="360"/>
      <c r="F73" s="360"/>
      <c r="G73" s="360"/>
      <c r="H73" s="360"/>
      <c r="I73" s="360"/>
      <c r="J73" s="360"/>
      <c r="K73" s="360"/>
      <c r="L73" s="398"/>
      <c r="M73" s="135" t="s">
        <v>1289</v>
      </c>
    </row>
    <row r="74" spans="1:13" ht="15">
      <c r="A74" s="9">
        <f>A73+1</f>
        <v>30</v>
      </c>
      <c r="B74" s="2377" t="s">
        <v>379</v>
      </c>
      <c r="C74" s="2377"/>
      <c r="D74" s="2377"/>
      <c r="E74" s="360"/>
      <c r="F74" s="360"/>
      <c r="G74" s="360"/>
      <c r="H74" s="360"/>
      <c r="I74" s="360"/>
      <c r="J74" s="360"/>
      <c r="K74" s="360"/>
      <c r="L74" s="398"/>
      <c r="M74" s="135" t="s">
        <v>1289</v>
      </c>
    </row>
    <row r="75" spans="1:13" ht="15">
      <c r="A75" s="9">
        <f>A74+1</f>
        <v>31</v>
      </c>
      <c r="B75" s="2377" t="s">
        <v>117</v>
      </c>
      <c r="C75" s="2377"/>
      <c r="D75" s="2377"/>
      <c r="E75" s="360"/>
      <c r="F75" s="360"/>
      <c r="G75" s="360"/>
      <c r="H75" s="360"/>
      <c r="I75" s="360"/>
      <c r="J75" s="360"/>
      <c r="K75" s="360"/>
      <c r="L75" s="398"/>
      <c r="M75" s="135" t="s">
        <v>1289</v>
      </c>
    </row>
    <row r="76" spans="1:13" ht="15">
      <c r="A76" s="9">
        <f>A75+1</f>
        <v>32</v>
      </c>
      <c r="B76" s="2377" t="s">
        <v>134</v>
      </c>
      <c r="C76" s="2377"/>
      <c r="D76" s="2377"/>
      <c r="E76" s="360"/>
      <c r="F76" s="360"/>
      <c r="G76" s="360"/>
      <c r="H76" s="360"/>
      <c r="I76" s="360"/>
      <c r="J76" s="360"/>
      <c r="K76" s="360"/>
      <c r="L76" s="398"/>
      <c r="M76" s="135" t="s">
        <v>1289</v>
      </c>
    </row>
    <row r="77" spans="1:13" ht="15">
      <c r="A77" s="9">
        <v>29</v>
      </c>
      <c r="B77" s="2377" t="s">
        <v>713</v>
      </c>
      <c r="C77" s="2377"/>
      <c r="D77" s="2377"/>
      <c r="E77" s="360"/>
      <c r="F77" s="360"/>
      <c r="G77" s="360"/>
      <c r="H77" s="360"/>
      <c r="I77" s="360"/>
      <c r="J77" s="360"/>
      <c r="K77" s="360"/>
      <c r="L77" s="398"/>
      <c r="M77" s="135"/>
    </row>
    <row r="78" spans="1:13" ht="14.25">
      <c r="A78" s="8">
        <v>30</v>
      </c>
      <c r="B78" s="2379" t="s">
        <v>49</v>
      </c>
      <c r="C78" s="2379"/>
      <c r="D78" s="2379"/>
      <c r="E78" s="355"/>
      <c r="F78" s="355"/>
      <c r="G78" s="355"/>
      <c r="H78" s="355"/>
      <c r="I78" s="355"/>
      <c r="J78" s="355"/>
      <c r="K78" s="355"/>
      <c r="L78" s="355"/>
      <c r="M78" s="136"/>
    </row>
    <row r="79" spans="1:13" ht="14.25">
      <c r="A79" s="8">
        <f>A78+1</f>
        <v>31</v>
      </c>
      <c r="B79" s="2379" t="s">
        <v>50</v>
      </c>
      <c r="C79" s="2379"/>
      <c r="D79" s="2379"/>
      <c r="E79" s="355"/>
      <c r="F79" s="355"/>
      <c r="G79" s="355"/>
      <c r="H79" s="355"/>
      <c r="I79" s="355"/>
      <c r="J79" s="355"/>
      <c r="K79" s="355"/>
      <c r="L79" s="355"/>
      <c r="M79" s="136"/>
    </row>
    <row r="80" spans="1:13" ht="15">
      <c r="A80" s="6">
        <f>A79+1</f>
        <v>32</v>
      </c>
      <c r="B80" s="2377" t="s">
        <v>1280</v>
      </c>
      <c r="C80" s="2377"/>
      <c r="D80" s="2377"/>
      <c r="E80" s="360"/>
      <c r="F80" s="360"/>
      <c r="G80" s="360"/>
      <c r="H80" s="360"/>
      <c r="I80" s="360"/>
      <c r="J80" s="360"/>
      <c r="K80" s="360"/>
      <c r="L80" s="398"/>
      <c r="M80" s="378"/>
    </row>
    <row r="81" spans="1:13" ht="14.25">
      <c r="A81" s="8">
        <f t="shared" ref="A81:A88" si="2">A80+1</f>
        <v>33</v>
      </c>
      <c r="B81" s="2379" t="s">
        <v>118</v>
      </c>
      <c r="C81" s="2379"/>
      <c r="D81" s="2379"/>
      <c r="E81" s="355"/>
      <c r="F81" s="355"/>
      <c r="G81" s="355"/>
      <c r="H81" s="355"/>
      <c r="I81" s="355"/>
      <c r="J81" s="355"/>
      <c r="K81" s="355"/>
      <c r="L81" s="355"/>
      <c r="M81" s="136"/>
    </row>
    <row r="82" spans="1:13" ht="15">
      <c r="A82" s="6">
        <f t="shared" si="2"/>
        <v>34</v>
      </c>
      <c r="B82" s="2377" t="s">
        <v>1279</v>
      </c>
      <c r="C82" s="2377"/>
      <c r="D82" s="2377"/>
      <c r="E82" s="360"/>
      <c r="F82" s="360"/>
      <c r="G82" s="360"/>
      <c r="H82" s="360"/>
      <c r="I82" s="360"/>
      <c r="J82" s="360"/>
      <c r="K82" s="360"/>
      <c r="L82" s="398"/>
      <c r="M82" s="378"/>
    </row>
    <row r="83" spans="1:13" ht="14.25">
      <c r="A83" s="8">
        <f t="shared" si="2"/>
        <v>35</v>
      </c>
      <c r="B83" s="2379" t="s">
        <v>156</v>
      </c>
      <c r="C83" s="2379"/>
      <c r="D83" s="2379"/>
      <c r="E83" s="355"/>
      <c r="F83" s="355"/>
      <c r="G83" s="355"/>
      <c r="H83" s="355"/>
      <c r="I83" s="355"/>
      <c r="J83" s="355"/>
      <c r="K83" s="355"/>
      <c r="L83" s="355"/>
      <c r="M83" s="22"/>
    </row>
    <row r="84" spans="1:13" ht="15">
      <c r="A84" s="6">
        <f t="shared" si="2"/>
        <v>36</v>
      </c>
      <c r="B84" s="2377" t="s">
        <v>378</v>
      </c>
      <c r="C84" s="2380"/>
      <c r="D84" s="2380"/>
      <c r="E84" s="398"/>
      <c r="F84" s="398"/>
      <c r="G84" s="398"/>
      <c r="H84" s="398"/>
      <c r="I84" s="398"/>
      <c r="J84" s="398"/>
      <c r="K84" s="398"/>
      <c r="L84" s="398"/>
      <c r="M84" s="135"/>
    </row>
    <row r="85" spans="1:13" ht="14.25">
      <c r="A85" s="8">
        <f t="shared" si="2"/>
        <v>37</v>
      </c>
      <c r="B85" s="2379" t="s">
        <v>50</v>
      </c>
      <c r="C85" s="2379"/>
      <c r="D85" s="2379"/>
      <c r="E85" s="355"/>
      <c r="F85" s="355"/>
      <c r="G85" s="355"/>
      <c r="H85" s="355"/>
      <c r="I85" s="355"/>
      <c r="J85" s="355"/>
      <c r="K85" s="355"/>
      <c r="L85" s="355"/>
      <c r="M85" s="136"/>
    </row>
    <row r="86" spans="1:13" ht="14.25">
      <c r="A86" s="8">
        <f t="shared" si="2"/>
        <v>38</v>
      </c>
      <c r="B86" s="2382" t="s">
        <v>51</v>
      </c>
      <c r="C86" s="2382"/>
      <c r="D86" s="2382"/>
      <c r="E86" s="355"/>
      <c r="F86" s="355"/>
      <c r="G86" s="355"/>
      <c r="H86" s="355"/>
      <c r="I86" s="355"/>
      <c r="J86" s="355"/>
      <c r="K86" s="355"/>
      <c r="L86" s="355"/>
      <c r="M86" s="22"/>
    </row>
    <row r="87" spans="1:13" ht="14.25">
      <c r="A87" s="11">
        <f t="shared" si="2"/>
        <v>39</v>
      </c>
      <c r="B87" s="2383" t="s">
        <v>52</v>
      </c>
      <c r="C87" s="2383"/>
      <c r="D87" s="2383"/>
      <c r="E87" s="361">
        <f t="shared" ref="E87:L87" si="3">ROUND(E86*1.2,2)</f>
        <v>0</v>
      </c>
      <c r="F87" s="361">
        <f t="shared" si="3"/>
        <v>0</v>
      </c>
      <c r="G87" s="361">
        <f t="shared" si="3"/>
        <v>0</v>
      </c>
      <c r="H87" s="361">
        <f t="shared" si="3"/>
        <v>0</v>
      </c>
      <c r="I87" s="361">
        <f t="shared" si="3"/>
        <v>0</v>
      </c>
      <c r="J87" s="361">
        <f t="shared" si="3"/>
        <v>0</v>
      </c>
      <c r="K87" s="361">
        <f t="shared" si="3"/>
        <v>0</v>
      </c>
      <c r="L87" s="361">
        <f t="shared" si="3"/>
        <v>0</v>
      </c>
      <c r="M87" s="137"/>
    </row>
    <row r="88" spans="1:13" ht="16.5" thickBot="1">
      <c r="A88" s="25">
        <f t="shared" si="2"/>
        <v>40</v>
      </c>
      <c r="B88" s="2381" t="s">
        <v>119</v>
      </c>
      <c r="C88" s="2381"/>
      <c r="D88" s="2381"/>
      <c r="E88" s="366"/>
      <c r="F88" s="366"/>
      <c r="G88" s="366" t="s">
        <v>155</v>
      </c>
      <c r="H88" s="366" t="s">
        <v>155</v>
      </c>
      <c r="I88" s="366" t="s">
        <v>155</v>
      </c>
      <c r="J88" s="366" t="s">
        <v>155</v>
      </c>
      <c r="K88" s="366" t="e">
        <f>K87/'Расчет ННБ'!E21</f>
        <v>#DIV/0!</v>
      </c>
      <c r="L88" s="640"/>
      <c r="M88" s="138"/>
    </row>
    <row r="89" spans="1:13" ht="15.75">
      <c r="A89" s="1005"/>
      <c r="B89" s="1006"/>
      <c r="C89" s="1006"/>
      <c r="D89" s="1006"/>
      <c r="E89" s="1007"/>
      <c r="F89" s="1007"/>
      <c r="G89" s="1007"/>
      <c r="H89" s="1007"/>
      <c r="I89" s="1007"/>
      <c r="J89" s="1007"/>
      <c r="K89" s="1007"/>
      <c r="L89" s="1007"/>
      <c r="M89" s="1008"/>
    </row>
    <row r="90" spans="1:13" ht="15.75">
      <c r="A90" s="1005"/>
      <c r="B90" s="1006"/>
      <c r="C90" s="1006"/>
      <c r="D90" s="1006"/>
      <c r="E90" s="1007"/>
      <c r="F90" s="1007"/>
      <c r="G90" s="1007"/>
      <c r="H90" s="1007"/>
      <c r="I90" s="1007"/>
      <c r="J90" s="1007"/>
      <c r="K90" s="1007"/>
      <c r="L90" s="1007"/>
      <c r="M90" s="1008"/>
    </row>
    <row r="91" spans="1:13" ht="15.75">
      <c r="A91" s="1005"/>
      <c r="B91" s="1006"/>
      <c r="C91" s="1006"/>
      <c r="D91" s="1006"/>
      <c r="E91" s="1007"/>
      <c r="F91" s="1007"/>
      <c r="G91" s="1007"/>
      <c r="H91" s="1007"/>
      <c r="I91" s="1007"/>
      <c r="J91" s="1007"/>
      <c r="K91" s="1007"/>
      <c r="L91" s="1007"/>
      <c r="M91" s="1008"/>
    </row>
    <row r="92" spans="1:13" ht="15">
      <c r="A92" s="12"/>
      <c r="B92" s="13"/>
      <c r="C92" s="13"/>
      <c r="D92" s="13"/>
      <c r="E92" s="384"/>
      <c r="F92" s="384"/>
      <c r="G92" s="384"/>
      <c r="H92" s="384"/>
      <c r="I92" s="384"/>
      <c r="J92" s="384"/>
      <c r="K92" s="384"/>
      <c r="L92" s="384"/>
      <c r="M92" s="13"/>
    </row>
    <row r="93" spans="1:13" ht="15">
      <c r="A93" s="77"/>
      <c r="B93" s="2386" t="e">
        <f>'№5.1Демонтаж БУ'!B76</f>
        <v>#REF!</v>
      </c>
      <c r="C93" s="2386"/>
      <c r="D93" s="2386"/>
      <c r="E93" s="383"/>
      <c r="F93" s="1183" t="e">
        <f>'№2.3 ПНР'!E78</f>
        <v>#REF!</v>
      </c>
      <c r="G93" s="1184"/>
      <c r="H93" s="1184"/>
      <c r="I93" s="1184"/>
      <c r="J93" s="1184"/>
      <c r="K93" s="1184"/>
      <c r="L93" s="1184"/>
      <c r="M93" s="105"/>
    </row>
    <row r="94" spans="1:13" ht="15">
      <c r="A94" s="77"/>
      <c r="B94" s="2378" t="s">
        <v>126</v>
      </c>
      <c r="C94" s="2378"/>
      <c r="D94" s="2378"/>
      <c r="E94" s="1769" t="s">
        <v>124</v>
      </c>
      <c r="F94" s="1185" t="s">
        <v>127</v>
      </c>
      <c r="G94" s="1185"/>
      <c r="H94" s="1186"/>
      <c r="I94" s="1186"/>
      <c r="J94" s="1186"/>
      <c r="K94" s="1186"/>
      <c r="L94" s="1186"/>
      <c r="M94" s="453"/>
    </row>
    <row r="95" spans="1:13">
      <c r="A95" s="14"/>
      <c r="B95" s="10"/>
      <c r="C95" s="10"/>
      <c r="D95" s="10"/>
      <c r="E95" s="1187"/>
      <c r="F95" s="1187"/>
      <c r="G95" s="1187"/>
      <c r="H95" s="1187"/>
      <c r="I95" s="1187"/>
      <c r="J95" s="1187"/>
      <c r="K95" s="1187"/>
      <c r="L95" s="1187"/>
      <c r="M95" s="10"/>
    </row>
    <row r="96" spans="1:13">
      <c r="E96" s="1187"/>
    </row>
    <row r="97" spans="5:5">
      <c r="E97" s="1187"/>
    </row>
    <row r="98" spans="5:5">
      <c r="E98" s="1187"/>
    </row>
    <row r="99" spans="5:5">
      <c r="E99" s="1187"/>
    </row>
    <row r="100" spans="5:5">
      <c r="E100" s="1187"/>
    </row>
    <row r="101" spans="5:5">
      <c r="E101" s="1187"/>
    </row>
    <row r="102" spans="5:5">
      <c r="E102" s="1187"/>
    </row>
  </sheetData>
  <mergeCells count="76">
    <mergeCell ref="B86:D86"/>
    <mergeCell ref="B87:D87"/>
    <mergeCell ref="B88:D88"/>
    <mergeCell ref="B93:D93"/>
    <mergeCell ref="B94:D94"/>
    <mergeCell ref="B85:D85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73:D73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A72:M72"/>
    <mergeCell ref="C57:D57"/>
    <mergeCell ref="C58:D58"/>
    <mergeCell ref="C59:D59"/>
    <mergeCell ref="C60:D60"/>
    <mergeCell ref="C61:D61"/>
    <mergeCell ref="B56:D56"/>
    <mergeCell ref="B45:D45"/>
    <mergeCell ref="B46:D46"/>
    <mergeCell ref="B47:D47"/>
    <mergeCell ref="B48:D48"/>
    <mergeCell ref="B49:D49"/>
    <mergeCell ref="A50:M50"/>
    <mergeCell ref="B51:D51"/>
    <mergeCell ref="B52:D52"/>
    <mergeCell ref="A53:M53"/>
    <mergeCell ref="B54:D54"/>
    <mergeCell ref="B55:D55"/>
    <mergeCell ref="B44:D44"/>
    <mergeCell ref="M33:M35"/>
    <mergeCell ref="E34:E35"/>
    <mergeCell ref="F34:K34"/>
    <mergeCell ref="B36:D36"/>
    <mergeCell ref="B37:D37"/>
    <mergeCell ref="A38:M38"/>
    <mergeCell ref="L33:L35"/>
    <mergeCell ref="B39:D39"/>
    <mergeCell ref="B40:D40"/>
    <mergeCell ref="B41:D41"/>
    <mergeCell ref="B42:D42"/>
    <mergeCell ref="B43:D43"/>
    <mergeCell ref="A25:B25"/>
    <mergeCell ref="A31:D31"/>
    <mergeCell ref="A33:A35"/>
    <mergeCell ref="B33:D35"/>
    <mergeCell ref="E33:K33"/>
    <mergeCell ref="A20:B20"/>
    <mergeCell ref="A3:M3"/>
    <mergeCell ref="A4:M4"/>
    <mergeCell ref="B8:C8"/>
    <mergeCell ref="D8:E8"/>
    <mergeCell ref="A10:D10"/>
    <mergeCell ref="A12:D12"/>
    <mergeCell ref="A14:D14"/>
    <mergeCell ref="A15:C15"/>
    <mergeCell ref="B16:D16"/>
    <mergeCell ref="A18:D18"/>
    <mergeCell ref="A19:E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60"/>
  <sheetViews>
    <sheetView workbookViewId="0">
      <selection activeCell="F52" sqref="F52:G52"/>
    </sheetView>
  </sheetViews>
  <sheetFormatPr defaultColWidth="9.140625" defaultRowHeight="15"/>
  <cols>
    <col min="1" max="1" width="4.42578125" style="76" customWidth="1"/>
    <col min="2" max="2" width="20.5703125" style="77" customWidth="1"/>
    <col min="3" max="3" width="9.140625" style="77"/>
    <col min="4" max="4" width="14.140625" style="77" customWidth="1"/>
    <col min="5" max="5" width="13.42578125" style="77" customWidth="1"/>
    <col min="6" max="6" width="22.85546875" style="77" customWidth="1"/>
    <col min="7" max="7" width="22.5703125" style="77" customWidth="1"/>
    <col min="8" max="8" width="0.140625" style="77" hidden="1" customWidth="1"/>
    <col min="9" max="13" width="0" style="77" hidden="1" customWidth="1"/>
    <col min="14" max="14" width="9.140625" style="77"/>
    <col min="15" max="15" width="13.28515625" style="77" hidden="1" customWidth="1"/>
    <col min="16" max="16" width="17.42578125" style="77" customWidth="1"/>
    <col min="17" max="16384" width="9.140625" style="77"/>
  </cols>
  <sheetData>
    <row r="1" spans="1:16">
      <c r="F1" s="2470" t="s">
        <v>374</v>
      </c>
      <c r="G1" s="2470"/>
    </row>
    <row r="3" spans="1:16">
      <c r="A3" s="2284" t="s">
        <v>375</v>
      </c>
      <c r="B3" s="2284"/>
      <c r="C3" s="2284"/>
      <c r="D3" s="2284"/>
      <c r="E3" s="2284"/>
      <c r="F3" s="2284"/>
      <c r="G3" s="2284"/>
    </row>
    <row r="4" spans="1:16" ht="19.5" customHeight="1">
      <c r="A4" s="2471" t="s">
        <v>418</v>
      </c>
      <c r="B4" s="2471"/>
      <c r="C4" s="2471"/>
      <c r="D4" s="2471"/>
      <c r="E4" s="2471"/>
      <c r="F4" s="2471"/>
      <c r="G4" s="2471"/>
    </row>
    <row r="5" spans="1:16">
      <c r="A5" s="2471"/>
      <c r="B5" s="2471"/>
      <c r="C5" s="2471"/>
      <c r="D5" s="2471"/>
      <c r="E5" s="2471"/>
      <c r="F5" s="2471"/>
      <c r="G5" s="2471"/>
    </row>
    <row r="6" spans="1:16" s="114" customFormat="1" ht="19.5" customHeight="1">
      <c r="A6" s="406" t="s">
        <v>413</v>
      </c>
      <c r="B6" s="406"/>
      <c r="C6" s="406"/>
      <c r="D6" s="1226"/>
      <c r="E6" s="406"/>
      <c r="F6" s="405"/>
    </row>
    <row r="7" spans="1:16" s="114" customFormat="1" ht="16.5" customHeight="1">
      <c r="A7" s="406" t="str">
        <f>'[15]№ 8.1 ННскважина'!A5:D5</f>
        <v>Расстояние до объекта</v>
      </c>
      <c r="B7" s="406"/>
      <c r="C7" s="406"/>
      <c r="D7" s="1242"/>
      <c r="E7" s="406" t="str">
        <f>'[15]№ 8.1 ННскважина'!E5:H5</f>
        <v>км</v>
      </c>
      <c r="F7" s="404"/>
    </row>
    <row r="8" spans="1:16" s="114" customFormat="1" ht="16.5" customHeight="1">
      <c r="A8" s="406" t="str">
        <f>'[15]№ 8.1 ННскважина'!A6:D6</f>
        <v>Глубина скважины</v>
      </c>
      <c r="B8" s="404"/>
      <c r="C8" s="404"/>
      <c r="D8" s="1241"/>
      <c r="E8" s="406" t="str">
        <f>'[15]№ 8.1 ННскважина'!E6:H6</f>
        <v xml:space="preserve">м.   </v>
      </c>
      <c r="F8" s="404"/>
    </row>
    <row r="9" spans="1:16" ht="15.75" thickBot="1">
      <c r="A9" s="110"/>
      <c r="B9" s="26"/>
      <c r="C9" s="26"/>
      <c r="D9" s="26"/>
      <c r="E9" s="26"/>
      <c r="F9" s="26"/>
    </row>
    <row r="10" spans="1:16" s="111" customFormat="1" ht="57.75" customHeight="1">
      <c r="A10" s="362" t="s">
        <v>110</v>
      </c>
      <c r="B10" s="2468" t="s">
        <v>34</v>
      </c>
      <c r="C10" s="2468"/>
      <c r="D10" s="2468"/>
      <c r="E10" s="2468"/>
      <c r="F10" s="91" t="s">
        <v>165</v>
      </c>
      <c r="G10" s="92" t="s">
        <v>166</v>
      </c>
      <c r="O10" s="111">
        <v>0.83</v>
      </c>
    </row>
    <row r="11" spans="1:16" s="111" customFormat="1">
      <c r="A11" s="112">
        <v>1</v>
      </c>
      <c r="B11" s="2469">
        <v>2</v>
      </c>
      <c r="C11" s="2469"/>
      <c r="D11" s="2469"/>
      <c r="E11" s="2469"/>
      <c r="F11" s="359">
        <v>3</v>
      </c>
      <c r="G11" s="113">
        <v>4</v>
      </c>
    </row>
    <row r="12" spans="1:16" s="114" customFormat="1" ht="17.25" customHeight="1">
      <c r="A12" s="2474" t="s">
        <v>35</v>
      </c>
      <c r="B12" s="2475"/>
      <c r="C12" s="2475"/>
      <c r="D12" s="2475"/>
      <c r="E12" s="2475"/>
      <c r="F12" s="2475"/>
      <c r="G12" s="2476"/>
      <c r="O12" s="111"/>
      <c r="P12" s="111"/>
    </row>
    <row r="13" spans="1:16" s="114" customFormat="1" ht="17.25" customHeight="1">
      <c r="A13" s="9">
        <v>1</v>
      </c>
      <c r="B13" s="2396" t="s">
        <v>112</v>
      </c>
      <c r="C13" s="2396"/>
      <c r="D13" s="2396"/>
      <c r="E13" s="2396"/>
      <c r="F13" s="360"/>
      <c r="G13" s="356"/>
      <c r="O13" s="111"/>
      <c r="P13" s="111"/>
    </row>
    <row r="14" spans="1:16" s="114" customFormat="1" ht="17.25" customHeight="1">
      <c r="A14" s="9">
        <v>2</v>
      </c>
      <c r="B14" s="2396" t="s">
        <v>36</v>
      </c>
      <c r="C14" s="2396"/>
      <c r="D14" s="2396"/>
      <c r="E14" s="2396"/>
      <c r="F14" s="360"/>
      <c r="G14" s="1067"/>
      <c r="O14" s="111"/>
      <c r="P14" s="111"/>
    </row>
    <row r="15" spans="1:16" s="114" customFormat="1" ht="15" customHeight="1">
      <c r="A15" s="9">
        <v>3</v>
      </c>
      <c r="B15" s="2396" t="s">
        <v>37</v>
      </c>
      <c r="C15" s="2396"/>
      <c r="D15" s="2396"/>
      <c r="E15" s="2396"/>
      <c r="F15" s="360"/>
      <c r="G15" s="356"/>
      <c r="O15" s="111"/>
      <c r="P15" s="111"/>
    </row>
    <row r="16" spans="1:16" s="114" customFormat="1" ht="17.25" customHeight="1">
      <c r="A16" s="9">
        <v>4</v>
      </c>
      <c r="B16" s="2396" t="s">
        <v>132</v>
      </c>
      <c r="C16" s="2396"/>
      <c r="D16" s="2396"/>
      <c r="E16" s="2396"/>
      <c r="F16" s="360"/>
      <c r="G16" s="356"/>
      <c r="O16" s="111"/>
      <c r="P16" s="111"/>
    </row>
    <row r="17" spans="1:16" s="114" customFormat="1" ht="17.25" customHeight="1">
      <c r="A17" s="363">
        <v>5</v>
      </c>
      <c r="B17" s="2396" t="s">
        <v>133</v>
      </c>
      <c r="C17" s="2396"/>
      <c r="D17" s="2396"/>
      <c r="E17" s="2396"/>
      <c r="F17" s="360"/>
      <c r="G17" s="356"/>
      <c r="O17" s="111"/>
      <c r="P17" s="111"/>
    </row>
    <row r="18" spans="1:16" s="114" customFormat="1" ht="17.25" customHeight="1">
      <c r="A18" s="9">
        <v>6</v>
      </c>
      <c r="B18" s="2396" t="s">
        <v>674</v>
      </c>
      <c r="C18" s="2396"/>
      <c r="D18" s="2396"/>
      <c r="E18" s="2396"/>
      <c r="F18" s="360"/>
      <c r="G18" s="1068"/>
      <c r="O18" s="111"/>
      <c r="P18" s="111"/>
    </row>
    <row r="19" spans="1:16" s="114" customFormat="1" ht="17.25" customHeight="1">
      <c r="A19" s="9">
        <v>7</v>
      </c>
      <c r="B19" s="2396" t="s">
        <v>39</v>
      </c>
      <c r="C19" s="2396"/>
      <c r="D19" s="2396"/>
      <c r="E19" s="2396"/>
      <c r="F19" s="360"/>
      <c r="G19" s="356"/>
      <c r="O19" s="111"/>
      <c r="P19" s="111"/>
    </row>
    <row r="20" spans="1:16" s="114" customFormat="1" ht="17.25" customHeight="1">
      <c r="A20" s="9">
        <v>8</v>
      </c>
      <c r="B20" s="2396" t="s">
        <v>40</v>
      </c>
      <c r="C20" s="2396"/>
      <c r="D20" s="2396"/>
      <c r="E20" s="2396"/>
      <c r="F20" s="360"/>
      <c r="G20" s="1068"/>
      <c r="O20" s="111"/>
      <c r="P20" s="111"/>
    </row>
    <row r="21" spans="1:16" s="114" customFormat="1" ht="17.25" customHeight="1">
      <c r="A21" s="9">
        <v>9</v>
      </c>
      <c r="B21" s="2396" t="s">
        <v>41</v>
      </c>
      <c r="C21" s="2396"/>
      <c r="D21" s="2396"/>
      <c r="E21" s="2396"/>
      <c r="F21" s="360"/>
      <c r="G21" s="356"/>
      <c r="O21" s="111"/>
      <c r="P21" s="111"/>
    </row>
    <row r="22" spans="1:16" s="114" customFormat="1" ht="17.25" customHeight="1">
      <c r="A22" s="9">
        <v>10</v>
      </c>
      <c r="B22" s="2396" t="s">
        <v>128</v>
      </c>
      <c r="C22" s="2396"/>
      <c r="D22" s="2396"/>
      <c r="E22" s="2396"/>
      <c r="F22" s="360"/>
      <c r="G22" s="1068"/>
      <c r="O22" s="111"/>
      <c r="P22" s="111"/>
    </row>
    <row r="23" spans="1:16" s="114" customFormat="1" ht="17.25" customHeight="1">
      <c r="A23" s="9">
        <v>11</v>
      </c>
      <c r="B23" s="2396" t="s">
        <v>38</v>
      </c>
      <c r="C23" s="2396"/>
      <c r="D23" s="2396"/>
      <c r="E23" s="2396"/>
      <c r="F23" s="360"/>
      <c r="G23" s="356"/>
      <c r="O23" s="111"/>
      <c r="P23" s="111"/>
    </row>
    <row r="24" spans="1:16" s="114" customFormat="1" ht="17.25" customHeight="1">
      <c r="A24" s="8">
        <v>12</v>
      </c>
      <c r="B24" s="2395" t="s">
        <v>114</v>
      </c>
      <c r="C24" s="2395"/>
      <c r="D24" s="2395"/>
      <c r="E24" s="2395"/>
      <c r="F24" s="355">
        <f>SUM(F13:F23)</f>
        <v>0</v>
      </c>
      <c r="G24" s="357">
        <f>SUM(G13:G23)</f>
        <v>0</v>
      </c>
      <c r="O24" s="111"/>
      <c r="P24" s="111"/>
    </row>
    <row r="25" spans="1:16" s="114" customFormat="1" ht="17.25" hidden="1" customHeight="1">
      <c r="A25" s="2465"/>
      <c r="B25" s="2466"/>
      <c r="C25" s="2466"/>
      <c r="D25" s="2466"/>
      <c r="E25" s="2466"/>
      <c r="F25" s="2466"/>
      <c r="G25" s="364"/>
      <c r="O25" s="111"/>
      <c r="P25" s="111"/>
    </row>
    <row r="26" spans="1:16" s="114" customFormat="1" ht="17.25" hidden="1" customHeight="1">
      <c r="A26" s="9"/>
      <c r="B26" s="2396"/>
      <c r="C26" s="2396"/>
      <c r="D26" s="2396"/>
      <c r="E26" s="2396"/>
      <c r="F26" s="23"/>
      <c r="G26" s="364"/>
      <c r="O26" s="111"/>
      <c r="P26" s="111"/>
    </row>
    <row r="27" spans="1:16" s="114" customFormat="1" ht="33.75" hidden="1" customHeight="1">
      <c r="A27" s="9"/>
      <c r="B27" s="2396"/>
      <c r="C27" s="2396"/>
      <c r="D27" s="2396"/>
      <c r="E27" s="2396"/>
      <c r="F27" s="23"/>
      <c r="G27" s="364"/>
      <c r="O27" s="111"/>
      <c r="P27" s="111"/>
    </row>
    <row r="28" spans="1:16" s="115" customFormat="1" ht="17.25" hidden="1" customHeight="1">
      <c r="A28" s="8"/>
      <c r="B28" s="2395"/>
      <c r="C28" s="2395"/>
      <c r="D28" s="2395"/>
      <c r="E28" s="2395"/>
      <c r="F28" s="21"/>
      <c r="G28" s="365"/>
      <c r="O28" s="111"/>
      <c r="P28" s="111"/>
    </row>
    <row r="29" spans="1:16" s="115" customFormat="1" ht="17.25" hidden="1" customHeight="1">
      <c r="A29" s="2465"/>
      <c r="B29" s="2466"/>
      <c r="C29" s="2466"/>
      <c r="D29" s="2466"/>
      <c r="E29" s="2466"/>
      <c r="F29" s="2466"/>
      <c r="G29" s="365"/>
      <c r="O29" s="111"/>
      <c r="P29" s="111"/>
    </row>
    <row r="30" spans="1:16" s="114" customFormat="1" ht="30.75" hidden="1" customHeight="1">
      <c r="A30" s="9"/>
      <c r="B30" s="2396"/>
      <c r="C30" s="2396"/>
      <c r="D30" s="2396"/>
      <c r="E30" s="2396"/>
      <c r="F30" s="23"/>
      <c r="G30" s="364"/>
      <c r="O30" s="111"/>
      <c r="P30" s="111"/>
    </row>
    <row r="31" spans="1:16" s="114" customFormat="1" ht="29.25" hidden="1" customHeight="1">
      <c r="A31" s="9"/>
      <c r="B31" s="2396"/>
      <c r="C31" s="2396"/>
      <c r="D31" s="2396"/>
      <c r="E31" s="2396"/>
      <c r="F31" s="23"/>
      <c r="G31" s="364"/>
      <c r="O31" s="111"/>
      <c r="P31" s="111"/>
    </row>
    <row r="32" spans="1:16" s="114" customFormat="1" ht="17.25" hidden="1" customHeight="1">
      <c r="A32" s="9"/>
      <c r="B32" s="2396"/>
      <c r="C32" s="2396"/>
      <c r="D32" s="2396"/>
      <c r="E32" s="2396"/>
      <c r="F32" s="23"/>
      <c r="G32" s="364"/>
      <c r="O32" s="111"/>
      <c r="P32" s="111"/>
    </row>
    <row r="33" spans="1:16" s="114" customFormat="1" ht="17.25" hidden="1" customHeight="1">
      <c r="A33" s="9"/>
      <c r="B33" s="229"/>
      <c r="C33" s="2396"/>
      <c r="D33" s="2396"/>
      <c r="E33" s="2396"/>
      <c r="F33" s="23"/>
      <c r="G33" s="364"/>
      <c r="O33" s="111"/>
      <c r="P33" s="111"/>
    </row>
    <row r="34" spans="1:16" s="115" customFormat="1" ht="17.25" hidden="1" customHeight="1">
      <c r="A34" s="9"/>
      <c r="B34" s="229"/>
      <c r="C34" s="2396"/>
      <c r="D34" s="2396"/>
      <c r="E34" s="2396"/>
      <c r="F34" s="23"/>
      <c r="G34" s="365"/>
      <c r="O34" s="111"/>
      <c r="P34" s="111"/>
    </row>
    <row r="35" spans="1:16" s="115" customFormat="1" ht="17.25" hidden="1" customHeight="1">
      <c r="A35" s="9"/>
      <c r="B35" s="229"/>
      <c r="C35" s="2396"/>
      <c r="D35" s="2396"/>
      <c r="E35" s="2396"/>
      <c r="F35" s="23"/>
      <c r="G35" s="365"/>
      <c r="O35" s="111"/>
      <c r="P35" s="111"/>
    </row>
    <row r="36" spans="1:16" s="114" customFormat="1" ht="17.25" hidden="1" customHeight="1">
      <c r="A36" s="9"/>
      <c r="B36" s="2396"/>
      <c r="C36" s="2396"/>
      <c r="D36" s="2396"/>
      <c r="E36" s="2396"/>
      <c r="F36" s="23"/>
      <c r="G36" s="364"/>
      <c r="O36" s="111"/>
      <c r="P36" s="111"/>
    </row>
    <row r="37" spans="1:16" s="115" customFormat="1" ht="17.25" hidden="1" customHeight="1">
      <c r="A37" s="9"/>
      <c r="B37" s="2396"/>
      <c r="C37" s="2396"/>
      <c r="D37" s="2396"/>
      <c r="E37" s="2396"/>
      <c r="F37" s="23"/>
      <c r="G37" s="365"/>
      <c r="O37" s="111"/>
      <c r="P37" s="111"/>
    </row>
    <row r="38" spans="1:16" s="114" customFormat="1" ht="17.25" hidden="1" customHeight="1">
      <c r="A38" s="9"/>
      <c r="B38" s="2396"/>
      <c r="C38" s="2396"/>
      <c r="D38" s="2396"/>
      <c r="E38" s="2396"/>
      <c r="F38" s="23"/>
      <c r="G38" s="364"/>
      <c r="O38" s="111"/>
      <c r="P38" s="111"/>
    </row>
    <row r="39" spans="1:16" s="114" customFormat="1" ht="17.25" hidden="1" customHeight="1">
      <c r="A39" s="9"/>
      <c r="B39" s="2396"/>
      <c r="C39" s="2396"/>
      <c r="D39" s="2396"/>
      <c r="E39" s="2396"/>
      <c r="F39" s="23"/>
      <c r="G39" s="364"/>
      <c r="O39" s="111"/>
      <c r="P39" s="111"/>
    </row>
    <row r="40" spans="1:16" s="114" customFormat="1" ht="17.25" hidden="1" customHeight="1">
      <c r="A40" s="9"/>
      <c r="B40" s="2395"/>
      <c r="C40" s="2395"/>
      <c r="D40" s="2395"/>
      <c r="E40" s="2395"/>
      <c r="F40" s="21"/>
      <c r="G40" s="364"/>
      <c r="O40" s="111"/>
      <c r="P40" s="111"/>
    </row>
    <row r="41" spans="1:16" s="114" customFormat="1" ht="17.25" customHeight="1">
      <c r="A41" s="2465" t="s">
        <v>43</v>
      </c>
      <c r="B41" s="2466"/>
      <c r="C41" s="2466"/>
      <c r="D41" s="2466"/>
      <c r="E41" s="2466"/>
      <c r="F41" s="2466"/>
      <c r="G41" s="2467"/>
      <c r="O41" s="111"/>
      <c r="P41" s="111"/>
    </row>
    <row r="42" spans="1:16" s="114" customFormat="1" ht="17.25" customHeight="1">
      <c r="A42" s="9">
        <v>13</v>
      </c>
      <c r="B42" s="2396"/>
      <c r="C42" s="2396"/>
      <c r="D42" s="2396"/>
      <c r="E42" s="2396"/>
      <c r="F42" s="23"/>
      <c r="G42" s="24"/>
      <c r="O42" s="111"/>
      <c r="P42" s="111"/>
    </row>
    <row r="43" spans="1:16" s="114" customFormat="1" ht="17.25" customHeight="1">
      <c r="A43" s="2465" t="s">
        <v>48</v>
      </c>
      <c r="B43" s="2466"/>
      <c r="C43" s="2466"/>
      <c r="D43" s="2466"/>
      <c r="E43" s="2466"/>
      <c r="F43" s="2466"/>
      <c r="G43" s="2467"/>
      <c r="O43" s="111"/>
      <c r="P43" s="111"/>
    </row>
    <row r="44" spans="1:16" s="114" customFormat="1" ht="18.95" customHeight="1">
      <c r="A44" s="9">
        <v>14</v>
      </c>
      <c r="B44" s="2396"/>
      <c r="C44" s="2396"/>
      <c r="D44" s="2396"/>
      <c r="E44" s="2396"/>
      <c r="F44" s="360"/>
      <c r="G44" s="356"/>
      <c r="O44" s="111"/>
      <c r="P44" s="111"/>
    </row>
    <row r="45" spans="1:16" s="114" customFormat="1" ht="17.25" customHeight="1">
      <c r="A45" s="9">
        <f>A44+1</f>
        <v>15</v>
      </c>
      <c r="B45" s="2396"/>
      <c r="C45" s="2396"/>
      <c r="D45" s="2396"/>
      <c r="E45" s="2396"/>
      <c r="F45" s="360"/>
      <c r="G45" s="356"/>
      <c r="O45" s="111"/>
      <c r="P45" s="111"/>
    </row>
    <row r="46" spans="1:16" s="114" customFormat="1" ht="17.25" customHeight="1">
      <c r="A46" s="9">
        <f t="shared" ref="A46:A56" si="0">A45+1</f>
        <v>16</v>
      </c>
      <c r="B46" s="2396"/>
      <c r="C46" s="2396"/>
      <c r="D46" s="2396"/>
      <c r="E46" s="2396"/>
      <c r="F46" s="360"/>
      <c r="G46" s="356"/>
      <c r="O46" s="111"/>
      <c r="P46" s="111"/>
    </row>
    <row r="47" spans="1:16" s="114" customFormat="1" ht="17.25" customHeight="1">
      <c r="A47" s="9">
        <v>17</v>
      </c>
      <c r="B47" s="2396"/>
      <c r="C47" s="2396"/>
      <c r="D47" s="2396"/>
      <c r="E47" s="2396"/>
      <c r="F47" s="360"/>
      <c r="G47" s="356"/>
      <c r="O47" s="111"/>
      <c r="P47" s="111"/>
    </row>
    <row r="48" spans="1:16" s="114" customFormat="1" ht="17.25" customHeight="1">
      <c r="A48" s="8">
        <v>18</v>
      </c>
      <c r="B48" s="2395" t="s">
        <v>49</v>
      </c>
      <c r="C48" s="2395"/>
      <c r="D48" s="2395"/>
      <c r="E48" s="2395"/>
      <c r="F48" s="355">
        <f>SUM(F44:F47)</f>
        <v>0</v>
      </c>
      <c r="G48" s="357">
        <f>SUM(G44:G47)</f>
        <v>0</v>
      </c>
      <c r="O48" s="111"/>
      <c r="P48" s="111"/>
    </row>
    <row r="49" spans="1:17" s="114" customFormat="1" ht="17.25" customHeight="1">
      <c r="A49" s="8">
        <f t="shared" si="0"/>
        <v>19</v>
      </c>
      <c r="B49" s="2395" t="s">
        <v>50</v>
      </c>
      <c r="C49" s="2395"/>
      <c r="D49" s="2395"/>
      <c r="E49" s="2395"/>
      <c r="F49" s="355">
        <f>F24+F48</f>
        <v>0</v>
      </c>
      <c r="G49" s="357">
        <f>G24+G48</f>
        <v>0</v>
      </c>
      <c r="O49" s="111"/>
      <c r="P49" s="111"/>
    </row>
    <row r="50" spans="1:17" s="114" customFormat="1" ht="17.25" customHeight="1">
      <c r="A50" s="9">
        <f t="shared" si="0"/>
        <v>20</v>
      </c>
      <c r="B50" s="2396" t="s">
        <v>1291</v>
      </c>
      <c r="C50" s="2396"/>
      <c r="D50" s="2396"/>
      <c r="E50" s="2396"/>
      <c r="F50" s="367"/>
      <c r="G50" s="367"/>
      <c r="O50" s="111"/>
      <c r="P50" s="111"/>
    </row>
    <row r="51" spans="1:17" s="114" customFormat="1" ht="17.25" customHeight="1">
      <c r="A51" s="8">
        <f t="shared" si="0"/>
        <v>21</v>
      </c>
      <c r="B51" s="2395" t="s">
        <v>118</v>
      </c>
      <c r="C51" s="2395"/>
      <c r="D51" s="2395"/>
      <c r="E51" s="2395"/>
      <c r="F51" s="355">
        <f>F49+F50</f>
        <v>0</v>
      </c>
      <c r="G51" s="357">
        <f>G49+G50</f>
        <v>0</v>
      </c>
      <c r="O51" s="111"/>
      <c r="P51" s="111"/>
    </row>
    <row r="52" spans="1:17" s="114" customFormat="1" ht="17.25" customHeight="1">
      <c r="A52" s="9">
        <f t="shared" si="0"/>
        <v>22</v>
      </c>
      <c r="B52" s="2396" t="s">
        <v>1292</v>
      </c>
      <c r="C52" s="2396"/>
      <c r="D52" s="2396"/>
      <c r="E52" s="2396"/>
      <c r="F52" s="360"/>
      <c r="G52" s="356"/>
      <c r="O52" s="111"/>
      <c r="P52" s="111"/>
    </row>
    <row r="53" spans="1:17" s="114" customFormat="1" ht="17.25" customHeight="1">
      <c r="A53" s="8">
        <f t="shared" si="0"/>
        <v>23</v>
      </c>
      <c r="B53" s="2395" t="s">
        <v>156</v>
      </c>
      <c r="C53" s="2395"/>
      <c r="D53" s="2395"/>
      <c r="E53" s="2395"/>
      <c r="F53" s="355">
        <f>F51+F52</f>
        <v>0</v>
      </c>
      <c r="G53" s="357">
        <f>G51+G52</f>
        <v>0</v>
      </c>
      <c r="O53" s="111"/>
      <c r="P53" s="111"/>
    </row>
    <row r="54" spans="1:17" s="114" customFormat="1">
      <c r="A54" s="8">
        <f t="shared" si="0"/>
        <v>24</v>
      </c>
      <c r="B54" s="2395" t="s">
        <v>157</v>
      </c>
      <c r="C54" s="2395"/>
      <c r="D54" s="2395"/>
      <c r="E54" s="2395"/>
      <c r="F54" s="355">
        <f>F53</f>
        <v>0</v>
      </c>
      <c r="G54" s="357">
        <f>G53</f>
        <v>0</v>
      </c>
      <c r="O54" s="111"/>
      <c r="P54" s="111"/>
    </row>
    <row r="55" spans="1:17" s="114" customFormat="1">
      <c r="A55" s="8">
        <f t="shared" si="0"/>
        <v>25</v>
      </c>
      <c r="B55" s="2395" t="s">
        <v>129</v>
      </c>
      <c r="C55" s="2395"/>
      <c r="D55" s="2395"/>
      <c r="E55" s="2395"/>
      <c r="F55" s="355">
        <f>F53</f>
        <v>0</v>
      </c>
      <c r="G55" s="357">
        <f>G53</f>
        <v>0</v>
      </c>
      <c r="O55" s="111"/>
      <c r="P55" s="111"/>
      <c r="Q55" s="386"/>
    </row>
    <row r="56" spans="1:17" ht="15.75" thickBot="1">
      <c r="A56" s="109">
        <f t="shared" si="0"/>
        <v>26</v>
      </c>
      <c r="B56" s="2463" t="s">
        <v>130</v>
      </c>
      <c r="C56" s="2463"/>
      <c r="D56" s="2463"/>
      <c r="E56" s="2463"/>
      <c r="F56" s="366">
        <f>ROUND(F55*1.2,2)</f>
        <v>0</v>
      </c>
      <c r="G56" s="358">
        <f>ROUND(G55*1.2,2)</f>
        <v>0</v>
      </c>
      <c r="O56" s="111"/>
      <c r="P56" s="111"/>
      <c r="Q56" s="266"/>
    </row>
    <row r="57" spans="1:17">
      <c r="A57" s="114"/>
      <c r="B57" s="114"/>
      <c r="C57" s="114"/>
      <c r="D57" s="114"/>
      <c r="E57" s="114"/>
      <c r="F57" s="114"/>
      <c r="O57" s="386"/>
      <c r="P57" s="386"/>
    </row>
    <row r="58" spans="1:17">
      <c r="A58" s="26"/>
      <c r="B58" s="27"/>
    </row>
    <row r="59" spans="1:17" ht="69" customHeight="1">
      <c r="A59" s="2297" t="e">
        <f>'№ 8.1  ННС 21'!B90</f>
        <v>#REF!</v>
      </c>
      <c r="B59" s="2297"/>
      <c r="D59" s="2464"/>
      <c r="E59" s="2464"/>
      <c r="G59" s="2329" t="e">
        <f>'№ 8.1  ННС 21'!F90</f>
        <v>#REF!</v>
      </c>
      <c r="H59" s="2329"/>
      <c r="I59" s="2327"/>
      <c r="J59" s="2327"/>
      <c r="K59" s="108"/>
      <c r="L59" s="2327"/>
      <c r="M59" s="2327"/>
    </row>
    <row r="60" spans="1:17">
      <c r="A60" s="2473" t="s">
        <v>126</v>
      </c>
      <c r="B60" s="2473"/>
      <c r="D60" s="2472" t="s">
        <v>124</v>
      </c>
      <c r="E60" s="2472"/>
      <c r="G60" s="119" t="s">
        <v>127</v>
      </c>
      <c r="I60" s="2327"/>
      <c r="J60" s="2327"/>
      <c r="K60" s="108"/>
      <c r="L60" s="2462"/>
      <c r="M60" s="2462"/>
    </row>
  </sheetData>
  <mergeCells count="60">
    <mergeCell ref="D60:E60"/>
    <mergeCell ref="A59:B59"/>
    <mergeCell ref="A60:B60"/>
    <mergeCell ref="A12:G12"/>
    <mergeCell ref="B13:E13"/>
    <mergeCell ref="B19:E19"/>
    <mergeCell ref="B17:E17"/>
    <mergeCell ref="B14:E14"/>
    <mergeCell ref="B15:E15"/>
    <mergeCell ref="A25:F25"/>
    <mergeCell ref="B26:E26"/>
    <mergeCell ref="B27:E27"/>
    <mergeCell ref="B28:E28"/>
    <mergeCell ref="B21:E21"/>
    <mergeCell ref="B22:E22"/>
    <mergeCell ref="B24:E24"/>
    <mergeCell ref="B10:E10"/>
    <mergeCell ref="B11:E11"/>
    <mergeCell ref="B20:E20"/>
    <mergeCell ref="F1:G1"/>
    <mergeCell ref="A3:G3"/>
    <mergeCell ref="A4:G4"/>
    <mergeCell ref="A5:G5"/>
    <mergeCell ref="B16:E16"/>
    <mergeCell ref="B18:E18"/>
    <mergeCell ref="B23:E23"/>
    <mergeCell ref="C33:E33"/>
    <mergeCell ref="C34:E34"/>
    <mergeCell ref="C35:E35"/>
    <mergeCell ref="B36:E36"/>
    <mergeCell ref="A29:F29"/>
    <mergeCell ref="B30:E30"/>
    <mergeCell ref="B31:E31"/>
    <mergeCell ref="B32:E32"/>
    <mergeCell ref="A41:G41"/>
    <mergeCell ref="B42:E42"/>
    <mergeCell ref="A43:G43"/>
    <mergeCell ref="B44:E44"/>
    <mergeCell ref="B37:E37"/>
    <mergeCell ref="B38:E38"/>
    <mergeCell ref="B39:E39"/>
    <mergeCell ref="B40:E40"/>
    <mergeCell ref="B49:E49"/>
    <mergeCell ref="B50:E50"/>
    <mergeCell ref="B51:E51"/>
    <mergeCell ref="B52:E52"/>
    <mergeCell ref="B45:E45"/>
    <mergeCell ref="B46:E46"/>
    <mergeCell ref="B48:E48"/>
    <mergeCell ref="B47:E47"/>
    <mergeCell ref="B53:E53"/>
    <mergeCell ref="B55:E55"/>
    <mergeCell ref="B56:E56"/>
    <mergeCell ref="B54:E54"/>
    <mergeCell ref="D59:E59"/>
    <mergeCell ref="G59:H59"/>
    <mergeCell ref="I59:J59"/>
    <mergeCell ref="L59:M59"/>
    <mergeCell ref="I60:J60"/>
    <mergeCell ref="L60:M60"/>
  </mergeCells>
  <phoneticPr fontId="17" type="noConversion"/>
  <pageMargins left="1.1811023622047245" right="0.39370078740157483" top="0.39370078740157483" bottom="0.39370078740157483" header="0" footer="0"/>
  <pageSetup paperSize="9" scale="7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0"/>
  <sheetViews>
    <sheetView zoomScaleNormal="100" workbookViewId="0">
      <selection activeCell="G29" sqref="B29:H29"/>
    </sheetView>
  </sheetViews>
  <sheetFormatPr defaultColWidth="8.140625" defaultRowHeight="15"/>
  <cols>
    <col min="1" max="1" width="7.28515625" style="141" customWidth="1"/>
    <col min="2" max="2" width="29.42578125" style="141" customWidth="1"/>
    <col min="3" max="3" width="11.85546875" style="141" customWidth="1"/>
    <col min="4" max="4" width="13.5703125" style="141" customWidth="1"/>
    <col min="5" max="5" width="14.28515625" style="141" customWidth="1"/>
    <col min="6" max="6" width="17" style="141" customWidth="1"/>
    <col min="7" max="7" width="14.140625" style="141" customWidth="1"/>
    <col min="8" max="8" width="14.28515625" style="141" customWidth="1"/>
    <col min="9" max="9" width="8.42578125" style="142" customWidth="1"/>
    <col min="10" max="12" width="8.140625" style="142"/>
    <col min="13" max="16384" width="8.140625" style="141"/>
  </cols>
  <sheetData>
    <row r="1" spans="1:12" s="443" customFormat="1">
      <c r="E1" s="2478" t="s">
        <v>359</v>
      </c>
      <c r="F1" s="2478"/>
      <c r="G1" s="2478"/>
      <c r="H1" s="2478"/>
      <c r="I1" s="444"/>
      <c r="J1" s="444"/>
      <c r="K1" s="444"/>
      <c r="L1" s="444"/>
    </row>
    <row r="2" spans="1:12" s="445" customFormat="1" ht="14.25">
      <c r="A2" s="2479" t="s">
        <v>360</v>
      </c>
      <c r="B2" s="2479"/>
      <c r="C2" s="2479"/>
      <c r="D2" s="2479"/>
      <c r="E2" s="2479"/>
      <c r="F2" s="2479"/>
      <c r="G2" s="2479"/>
      <c r="H2" s="2479"/>
      <c r="I2" s="446"/>
      <c r="J2" s="446"/>
      <c r="K2" s="446"/>
      <c r="L2" s="446"/>
    </row>
    <row r="3" spans="1:12" s="143" customFormat="1" ht="18" customHeight="1">
      <c r="A3" s="2481" t="s">
        <v>598</v>
      </c>
      <c r="B3" s="2481"/>
      <c r="C3" s="2481"/>
      <c r="D3" s="2481"/>
      <c r="E3" s="2481"/>
      <c r="F3" s="2481"/>
      <c r="G3" s="2481"/>
      <c r="H3" s="2481"/>
      <c r="I3" s="144"/>
      <c r="J3" s="144"/>
      <c r="K3" s="144"/>
      <c r="L3" s="144"/>
    </row>
    <row r="4" spans="1:12" ht="15.75" thickBot="1">
      <c r="G4" s="2482" t="s">
        <v>176</v>
      </c>
      <c r="H4" s="2482"/>
    </row>
    <row r="5" spans="1:12" s="143" customFormat="1" ht="75" customHeight="1">
      <c r="A5" s="145" t="s">
        <v>177</v>
      </c>
      <c r="B5" s="146" t="s">
        <v>178</v>
      </c>
      <c r="C5" s="146" t="s">
        <v>179</v>
      </c>
      <c r="D5" s="146" t="s">
        <v>180</v>
      </c>
      <c r="E5" s="146" t="s">
        <v>271</v>
      </c>
      <c r="F5" s="146" t="s">
        <v>181</v>
      </c>
      <c r="G5" s="146" t="s">
        <v>272</v>
      </c>
      <c r="H5" s="147" t="s">
        <v>182</v>
      </c>
      <c r="I5" s="144"/>
      <c r="J5" s="144"/>
      <c r="K5" s="144"/>
      <c r="L5" s="144"/>
    </row>
    <row r="6" spans="1:12" s="143" customFormat="1">
      <c r="A6" s="148">
        <v>1</v>
      </c>
      <c r="B6" s="149">
        <v>2</v>
      </c>
      <c r="C6" s="149">
        <v>3</v>
      </c>
      <c r="D6" s="149">
        <v>4</v>
      </c>
      <c r="E6" s="149">
        <v>5</v>
      </c>
      <c r="F6" s="149">
        <v>6</v>
      </c>
      <c r="G6" s="149">
        <v>7</v>
      </c>
      <c r="H6" s="150">
        <v>8</v>
      </c>
      <c r="I6" s="144"/>
      <c r="J6" s="144"/>
      <c r="K6" s="144"/>
      <c r="L6" s="144"/>
    </row>
    <row r="7" spans="1:12" s="143" customFormat="1" ht="24">
      <c r="A7" s="151"/>
      <c r="B7" s="152" t="s">
        <v>270</v>
      </c>
      <c r="C7" s="2483"/>
      <c r="D7" s="2483"/>
      <c r="E7" s="2483"/>
      <c r="F7" s="2483"/>
      <c r="G7" s="2483"/>
      <c r="H7" s="2484"/>
      <c r="I7" s="144"/>
      <c r="J7" s="144"/>
      <c r="K7" s="144"/>
      <c r="L7" s="144"/>
    </row>
    <row r="8" spans="1:12" s="1076" customFormat="1">
      <c r="A8" s="1071">
        <v>1</v>
      </c>
      <c r="B8" s="1774"/>
      <c r="C8" s="1775"/>
      <c r="D8" s="1776"/>
      <c r="E8" s="1072"/>
      <c r="F8" s="1072"/>
      <c r="G8" s="1072"/>
      <c r="H8" s="1073">
        <f>G8*D8</f>
        <v>0</v>
      </c>
      <c r="I8" s="1074"/>
      <c r="J8" s="1075"/>
      <c r="K8" s="2477"/>
      <c r="L8" s="2477"/>
    </row>
    <row r="9" spans="1:12" s="1076" customFormat="1">
      <c r="A9" s="1071">
        <v>2</v>
      </c>
      <c r="B9" s="1777"/>
      <c r="C9" s="1775"/>
      <c r="D9" s="1776"/>
      <c r="E9" s="1072"/>
      <c r="F9" s="1072"/>
      <c r="G9" s="1072"/>
      <c r="H9" s="1073">
        <f t="shared" ref="H9:H18" si="0">G9*D9</f>
        <v>0</v>
      </c>
      <c r="I9" s="1074"/>
      <c r="J9" s="1075"/>
      <c r="K9" s="2477"/>
      <c r="L9" s="2477"/>
    </row>
    <row r="10" spans="1:12" s="1076" customFormat="1" hidden="1">
      <c r="A10" s="1071">
        <v>3</v>
      </c>
      <c r="B10" s="1777"/>
      <c r="C10" s="1775"/>
      <c r="D10" s="1776"/>
      <c r="E10" s="1072"/>
      <c r="F10" s="1072"/>
      <c r="G10" s="1072"/>
      <c r="H10" s="1073">
        <f>G10*D10</f>
        <v>0</v>
      </c>
      <c r="I10" s="1074"/>
      <c r="J10" s="1074"/>
      <c r="K10" s="1074"/>
      <c r="L10" s="1074"/>
    </row>
    <row r="11" spans="1:12" s="1076" customFormat="1" hidden="1">
      <c r="A11" s="1071">
        <v>4</v>
      </c>
      <c r="B11" s="1777"/>
      <c r="C11" s="1775"/>
      <c r="D11" s="1776"/>
      <c r="E11" s="1072"/>
      <c r="F11" s="1072"/>
      <c r="G11" s="1072"/>
      <c r="H11" s="1073">
        <f t="shared" si="0"/>
        <v>0</v>
      </c>
      <c r="I11" s="1074"/>
      <c r="J11" s="1074"/>
      <c r="K11" s="1074"/>
      <c r="L11" s="1074"/>
    </row>
    <row r="12" spans="1:12" s="1076" customFormat="1" hidden="1">
      <c r="A12" s="1071">
        <v>5</v>
      </c>
      <c r="B12" s="1777"/>
      <c r="C12" s="1775"/>
      <c r="D12" s="1776"/>
      <c r="E12" s="1072"/>
      <c r="F12" s="1072"/>
      <c r="G12" s="1072"/>
      <c r="H12" s="1073">
        <f t="shared" si="0"/>
        <v>0</v>
      </c>
      <c r="I12" s="1074"/>
      <c r="J12" s="1074"/>
      <c r="K12" s="1074"/>
      <c r="L12" s="1074"/>
    </row>
    <row r="13" spans="1:12" s="1076" customFormat="1" hidden="1">
      <c r="A13" s="1071">
        <v>6</v>
      </c>
      <c r="B13" s="1777"/>
      <c r="C13" s="1775"/>
      <c r="D13" s="1776"/>
      <c r="E13" s="1072"/>
      <c r="F13" s="1072"/>
      <c r="G13" s="1072"/>
      <c r="H13" s="1073">
        <f>G13*D13</f>
        <v>0</v>
      </c>
      <c r="I13" s="1074"/>
      <c r="J13" s="1074"/>
      <c r="K13" s="1074"/>
      <c r="L13" s="1074"/>
    </row>
    <row r="14" spans="1:12" s="1076" customFormat="1" hidden="1">
      <c r="A14" s="1071">
        <v>7</v>
      </c>
      <c r="B14" s="1777"/>
      <c r="C14" s="1775"/>
      <c r="D14" s="1776"/>
      <c r="E14" s="1072"/>
      <c r="F14" s="1072"/>
      <c r="G14" s="1072"/>
      <c r="H14" s="1073">
        <f>G14*D14</f>
        <v>0</v>
      </c>
      <c r="I14" s="1074"/>
      <c r="J14" s="1074"/>
      <c r="K14" s="1074"/>
      <c r="L14" s="1074"/>
    </row>
    <row r="15" spans="1:12" s="1076" customFormat="1" hidden="1">
      <c r="A15" s="1071">
        <v>8</v>
      </c>
      <c r="B15" s="1777"/>
      <c r="C15" s="1775"/>
      <c r="D15" s="1776"/>
      <c r="E15" s="1072"/>
      <c r="F15" s="1072"/>
      <c r="G15" s="1072"/>
      <c r="H15" s="1073">
        <f>G15*D15</f>
        <v>0</v>
      </c>
      <c r="I15" s="1074"/>
      <c r="J15" s="1074"/>
      <c r="K15" s="1074"/>
      <c r="L15" s="1074"/>
    </row>
    <row r="16" spans="1:12" s="1076" customFormat="1" hidden="1">
      <c r="A16" s="1071">
        <v>9</v>
      </c>
      <c r="B16" s="1777"/>
      <c r="C16" s="1775"/>
      <c r="D16" s="1776"/>
      <c r="E16" s="1072"/>
      <c r="F16" s="1072"/>
      <c r="G16" s="1072"/>
      <c r="H16" s="1073">
        <f>G16*D16</f>
        <v>0</v>
      </c>
      <c r="I16" s="1074"/>
      <c r="J16" s="1074"/>
      <c r="K16" s="1074"/>
      <c r="L16" s="1074"/>
    </row>
    <row r="17" spans="1:12" s="1076" customFormat="1" hidden="1">
      <c r="A17" s="1071">
        <v>10</v>
      </c>
      <c r="B17" s="1777"/>
      <c r="C17" s="1775"/>
      <c r="D17" s="1776"/>
      <c r="E17" s="1072"/>
      <c r="F17" s="1072"/>
      <c r="G17" s="1072"/>
      <c r="H17" s="1073">
        <f t="shared" si="0"/>
        <v>0</v>
      </c>
      <c r="I17" s="1074"/>
      <c r="J17" s="1074"/>
      <c r="K17" s="1074"/>
      <c r="L17" s="1074"/>
    </row>
    <row r="18" spans="1:12" s="1076" customFormat="1" hidden="1">
      <c r="A18" s="1071">
        <v>11</v>
      </c>
      <c r="B18" s="1777"/>
      <c r="C18" s="1775"/>
      <c r="D18" s="1776"/>
      <c r="E18" s="1072"/>
      <c r="F18" s="1072"/>
      <c r="G18" s="1072"/>
      <c r="H18" s="1073">
        <f t="shared" si="0"/>
        <v>0</v>
      </c>
      <c r="I18" s="1074"/>
      <c r="J18" s="1074"/>
      <c r="K18" s="1074"/>
      <c r="L18" s="1074"/>
    </row>
    <row r="19" spans="1:12" s="1076" customFormat="1" hidden="1">
      <c r="A19" s="1071">
        <v>12</v>
      </c>
      <c r="B19" s="1777"/>
      <c r="C19" s="1775"/>
      <c r="D19" s="1776"/>
      <c r="E19" s="1072"/>
      <c r="F19" s="1072"/>
      <c r="G19" s="1072"/>
      <c r="H19" s="1073">
        <f>G19*D19</f>
        <v>0</v>
      </c>
      <c r="I19" s="1074"/>
      <c r="J19" s="1074"/>
      <c r="K19" s="1074"/>
      <c r="L19" s="1074"/>
    </row>
    <row r="20" spans="1:12" s="155" customFormat="1" hidden="1">
      <c r="A20" s="300"/>
      <c r="B20" s="1777"/>
      <c r="C20" s="1775"/>
      <c r="D20" s="1776"/>
      <c r="E20" s="246"/>
      <c r="F20" s="246"/>
      <c r="G20" s="246"/>
      <c r="H20" s="298"/>
      <c r="I20" s="154"/>
      <c r="J20" s="154"/>
      <c r="K20" s="154"/>
      <c r="L20" s="154"/>
    </row>
    <row r="21" spans="1:12" s="155" customFormat="1" hidden="1">
      <c r="A21" s="300"/>
      <c r="B21" s="250"/>
      <c r="C21" s="253"/>
      <c r="D21" s="253"/>
      <c r="E21" s="246"/>
      <c r="F21" s="246"/>
      <c r="G21" s="246"/>
      <c r="H21" s="298"/>
      <c r="I21" s="154"/>
      <c r="J21" s="154"/>
      <c r="K21" s="154"/>
      <c r="L21" s="154"/>
    </row>
    <row r="22" spans="1:12">
      <c r="A22" s="301"/>
      <c r="B22" s="302" t="s">
        <v>183</v>
      </c>
      <c r="C22" s="303"/>
      <c r="D22" s="307"/>
      <c r="E22" s="304"/>
      <c r="F22" s="304"/>
      <c r="G22" s="304"/>
      <c r="H22" s="305">
        <f>SUM(H8:H19)</f>
        <v>0</v>
      </c>
      <c r="I22" s="154"/>
    </row>
    <row r="23" spans="1:12">
      <c r="A23" s="156"/>
      <c r="B23" s="153" t="s">
        <v>184</v>
      </c>
      <c r="C23" s="157"/>
      <c r="D23" s="308"/>
      <c r="E23" s="158"/>
      <c r="F23" s="158"/>
      <c r="G23" s="158"/>
      <c r="H23" s="305">
        <f>ROUND((H22/30.4),2)</f>
        <v>0</v>
      </c>
    </row>
    <row r="24" spans="1:12" ht="15.75" thickBot="1">
      <c r="A24" s="159"/>
      <c r="B24" s="160" t="s">
        <v>185</v>
      </c>
      <c r="C24" s="375" t="s">
        <v>62</v>
      </c>
      <c r="D24" s="376">
        <f>'№ 8.1  ННС 21'!F19</f>
        <v>0</v>
      </c>
      <c r="E24" s="161"/>
      <c r="F24" s="161"/>
      <c r="G24" s="161"/>
      <c r="H24" s="306">
        <f>ROUND(H23*D24,2)</f>
        <v>0</v>
      </c>
    </row>
    <row r="25" spans="1:12">
      <c r="B25" s="162"/>
      <c r="C25" s="162"/>
      <c r="D25" s="162"/>
    </row>
    <row r="27" spans="1:12" ht="23.25" customHeight="1"/>
    <row r="28" spans="1:12" s="163" customFormat="1">
      <c r="B28" s="163" t="s">
        <v>186</v>
      </c>
      <c r="F28" s="102"/>
      <c r="I28" s="164"/>
      <c r="J28" s="164"/>
      <c r="K28" s="164"/>
      <c r="L28" s="164"/>
    </row>
    <row r="29" spans="1:12" s="77" customFormat="1" ht="51" customHeight="1">
      <c r="B29" s="259"/>
      <c r="D29" s="2464"/>
      <c r="E29" s="2464"/>
      <c r="G29" s="2329"/>
      <c r="H29" s="2329"/>
    </row>
    <row r="30" spans="1:12" s="77" customFormat="1">
      <c r="B30" s="118" t="s">
        <v>126</v>
      </c>
      <c r="D30" s="2480" t="s">
        <v>124</v>
      </c>
      <c r="E30" s="2480"/>
      <c r="G30" s="2472" t="s">
        <v>127</v>
      </c>
      <c r="H30" s="2472"/>
    </row>
  </sheetData>
  <mergeCells count="11">
    <mergeCell ref="K8:L8"/>
    <mergeCell ref="K9:L9"/>
    <mergeCell ref="E1:H1"/>
    <mergeCell ref="A2:H2"/>
    <mergeCell ref="D30:E30"/>
    <mergeCell ref="G29:H29"/>
    <mergeCell ref="G30:H30"/>
    <mergeCell ref="A3:H3"/>
    <mergeCell ref="G4:H4"/>
    <mergeCell ref="C7:H7"/>
    <mergeCell ref="D29:E29"/>
  </mergeCells>
  <phoneticPr fontId="17" type="noConversion"/>
  <pageMargins left="0.78740157480314965" right="0.23622047244094491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2"/>
  <sheetViews>
    <sheetView zoomScaleNormal="100" workbookViewId="0">
      <selection activeCell="P21" sqref="P21"/>
    </sheetView>
  </sheetViews>
  <sheetFormatPr defaultColWidth="9.140625" defaultRowHeight="15"/>
  <cols>
    <col min="1" max="1" width="6.7109375" style="165" customWidth="1"/>
    <col min="2" max="2" width="37.7109375" style="165" customWidth="1"/>
    <col min="3" max="3" width="11.140625" style="165" customWidth="1"/>
    <col min="4" max="4" width="16.42578125" style="166" customWidth="1"/>
    <col min="5" max="5" width="16" style="165" customWidth="1"/>
    <col min="6" max="7" width="20.28515625" style="165" customWidth="1"/>
    <col min="8" max="8" width="16.28515625" style="165" customWidth="1"/>
    <col min="9" max="13" width="0" style="165" hidden="1" customWidth="1"/>
    <col min="14" max="16384" width="9.140625" style="165"/>
  </cols>
  <sheetData>
    <row r="1" spans="1:8" s="447" customFormat="1">
      <c r="D1" s="448"/>
      <c r="E1" s="2283" t="s">
        <v>361</v>
      </c>
      <c r="F1" s="2283"/>
      <c r="G1" s="2283"/>
      <c r="H1" s="2283"/>
    </row>
    <row r="2" spans="1:8" s="447" customFormat="1">
      <c r="D2" s="448"/>
      <c r="G2" s="2487"/>
      <c r="H2" s="2487"/>
    </row>
    <row r="3" spans="1:8" s="447" customFormat="1">
      <c r="A3" s="2488" t="s">
        <v>362</v>
      </c>
      <c r="B3" s="2488"/>
      <c r="C3" s="2488"/>
      <c r="D3" s="2488"/>
      <c r="E3" s="2488"/>
      <c r="F3" s="2488"/>
      <c r="G3" s="2488"/>
      <c r="H3" s="2488"/>
    </row>
    <row r="4" spans="1:8">
      <c r="A4" s="2485" t="s">
        <v>187</v>
      </c>
      <c r="B4" s="2485"/>
      <c r="C4" s="2485"/>
      <c r="D4" s="2485"/>
      <c r="E4" s="2485"/>
      <c r="F4" s="2485"/>
      <c r="G4" s="2485"/>
      <c r="H4" s="2485"/>
    </row>
    <row r="5" spans="1:8" ht="15.75" thickBot="1">
      <c r="A5" s="167"/>
      <c r="B5" s="167"/>
      <c r="C5" s="167"/>
      <c r="D5" s="167"/>
      <c r="E5" s="167"/>
      <c r="F5" s="167"/>
      <c r="G5" s="167"/>
      <c r="H5" s="168" t="s">
        <v>176</v>
      </c>
    </row>
    <row r="6" spans="1:8" ht="45">
      <c r="A6" s="169" t="s">
        <v>14</v>
      </c>
      <c r="B6" s="170" t="s">
        <v>188</v>
      </c>
      <c r="C6" s="170" t="s">
        <v>189</v>
      </c>
      <c r="D6" s="170" t="s">
        <v>190</v>
      </c>
      <c r="E6" s="170" t="s">
        <v>191</v>
      </c>
      <c r="F6" s="170" t="s">
        <v>192</v>
      </c>
      <c r="G6" s="170" t="s">
        <v>193</v>
      </c>
      <c r="H6" s="325" t="s">
        <v>194</v>
      </c>
    </row>
    <row r="7" spans="1:8">
      <c r="A7" s="326">
        <v>1</v>
      </c>
      <c r="B7" s="324">
        <v>2</v>
      </c>
      <c r="C7" s="324">
        <v>3</v>
      </c>
      <c r="D7" s="324">
        <v>4</v>
      </c>
      <c r="E7" s="324">
        <v>5</v>
      </c>
      <c r="F7" s="324">
        <v>6</v>
      </c>
      <c r="G7" s="324">
        <v>7</v>
      </c>
      <c r="H7" s="327">
        <v>8</v>
      </c>
    </row>
    <row r="8" spans="1:8">
      <c r="A8" s="309">
        <v>1</v>
      </c>
      <c r="B8" s="919" t="s">
        <v>1293</v>
      </c>
      <c r="C8" s="314" t="s">
        <v>675</v>
      </c>
      <c r="D8" s="310"/>
      <c r="E8" s="311"/>
      <c r="F8" s="312"/>
      <c r="G8" s="313"/>
      <c r="H8" s="918"/>
    </row>
    <row r="9" spans="1:8">
      <c r="A9" s="309">
        <v>2</v>
      </c>
      <c r="B9" s="919" t="s">
        <v>1242</v>
      </c>
      <c r="C9" s="314" t="s">
        <v>63</v>
      </c>
      <c r="D9" s="310"/>
      <c r="E9" s="311"/>
      <c r="F9" s="312"/>
      <c r="G9" s="313"/>
      <c r="H9" s="918"/>
    </row>
    <row r="10" spans="1:8">
      <c r="A10" s="309"/>
      <c r="B10" s="264"/>
      <c r="C10" s="314"/>
      <c r="D10" s="310"/>
      <c r="E10" s="311"/>
      <c r="F10" s="312"/>
      <c r="G10" s="313"/>
      <c r="H10" s="328"/>
    </row>
    <row r="11" spans="1:8">
      <c r="A11" s="309"/>
      <c r="B11" s="264"/>
      <c r="C11" s="314"/>
      <c r="D11" s="310"/>
      <c r="E11" s="311"/>
      <c r="F11" s="312"/>
      <c r="G11" s="313"/>
      <c r="H11" s="328"/>
    </row>
    <row r="12" spans="1:8">
      <c r="A12" s="309"/>
      <c r="B12" s="315" t="s">
        <v>195</v>
      </c>
      <c r="C12" s="313"/>
      <c r="D12" s="313"/>
      <c r="E12" s="311"/>
      <c r="F12" s="312"/>
      <c r="G12" s="313"/>
      <c r="H12" s="329">
        <f>SUM(H8:H9)</f>
        <v>0</v>
      </c>
    </row>
    <row r="13" spans="1:8">
      <c r="A13" s="309"/>
      <c r="B13" s="316" t="s">
        <v>196</v>
      </c>
      <c r="C13" s="313"/>
      <c r="D13" s="313"/>
      <c r="E13" s="311"/>
      <c r="F13" s="312"/>
      <c r="G13" s="313"/>
      <c r="H13" s="328">
        <f>ROUND((H12/30.4),2)</f>
        <v>0</v>
      </c>
    </row>
    <row r="14" spans="1:8" ht="15.75" thickBot="1">
      <c r="A14" s="317"/>
      <c r="B14" s="330" t="s">
        <v>197</v>
      </c>
      <c r="C14" s="319" t="s">
        <v>62</v>
      </c>
      <c r="D14" s="323">
        <f>'№8.1.1 ЗП'!D24</f>
        <v>0</v>
      </c>
      <c r="E14" s="320"/>
      <c r="F14" s="321"/>
      <c r="G14" s="322"/>
      <c r="H14" s="331">
        <f>ROUND(H13*D14,2)</f>
        <v>0</v>
      </c>
    </row>
    <row r="15" spans="1:8">
      <c r="B15" s="173"/>
    </row>
    <row r="16" spans="1:8">
      <c r="B16" s="174"/>
      <c r="C16" s="175"/>
      <c r="D16" s="2327"/>
      <c r="E16" s="2327"/>
      <c r="F16" s="2327"/>
    </row>
    <row r="17" spans="2:18">
      <c r="B17" s="77"/>
      <c r="C17" s="175"/>
      <c r="D17" s="77"/>
      <c r="E17" s="77"/>
      <c r="F17" s="176"/>
    </row>
    <row r="18" spans="2:18">
      <c r="B18" s="174"/>
      <c r="C18" s="175"/>
      <c r="D18" s="2486"/>
      <c r="E18" s="2486"/>
      <c r="F18" s="2486"/>
    </row>
    <row r="19" spans="2:18">
      <c r="B19" s="174"/>
      <c r="C19" s="175"/>
      <c r="D19" s="2486"/>
      <c r="E19" s="2486"/>
      <c r="F19" s="2486"/>
    </row>
    <row r="20" spans="2:18" s="77" customFormat="1" ht="30" customHeight="1">
      <c r="B20" s="259"/>
      <c r="D20" s="2464"/>
      <c r="E20" s="2464"/>
      <c r="G20" s="259"/>
      <c r="I20" s="2327"/>
      <c r="J20" s="2327"/>
      <c r="K20" s="108"/>
      <c r="L20" s="2327"/>
      <c r="M20" s="2327"/>
    </row>
    <row r="21" spans="2:18" s="77" customFormat="1">
      <c r="B21" s="118" t="s">
        <v>126</v>
      </c>
      <c r="D21" s="2480" t="s">
        <v>124</v>
      </c>
      <c r="E21" s="2480"/>
      <c r="G21" s="119" t="s">
        <v>127</v>
      </c>
      <c r="I21" s="2327"/>
      <c r="J21" s="2327"/>
      <c r="K21" s="108"/>
      <c r="L21" s="2462"/>
      <c r="M21" s="2462"/>
    </row>
    <row r="22" spans="2:18" s="141" customFormat="1">
      <c r="I22" s="142"/>
      <c r="J22" s="142"/>
      <c r="K22" s="142"/>
      <c r="L22" s="142"/>
      <c r="M22" s="142"/>
      <c r="N22" s="142"/>
      <c r="O22" s="142"/>
      <c r="P22" s="142"/>
      <c r="Q22" s="142"/>
      <c r="R22" s="142"/>
    </row>
  </sheetData>
  <mergeCells count="13">
    <mergeCell ref="E1:H1"/>
    <mergeCell ref="G2:H2"/>
    <mergeCell ref="A3:H3"/>
    <mergeCell ref="I20:J20"/>
    <mergeCell ref="L20:M20"/>
    <mergeCell ref="I21:J21"/>
    <mergeCell ref="L21:M21"/>
    <mergeCell ref="A4:H4"/>
    <mergeCell ref="D16:F16"/>
    <mergeCell ref="D18:F18"/>
    <mergeCell ref="D19:F19"/>
    <mergeCell ref="D20:E20"/>
    <mergeCell ref="D21:E21"/>
  </mergeCells>
  <phoneticPr fontId="17" type="noConversion"/>
  <pageMargins left="0.56999999999999995" right="0.64" top="1" bottom="1" header="0.5" footer="0.5"/>
  <pageSetup paperSize="9" scale="6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2"/>
  <sheetViews>
    <sheetView zoomScaleNormal="100" workbookViewId="0">
      <selection activeCell="R30" sqref="R30"/>
    </sheetView>
  </sheetViews>
  <sheetFormatPr defaultColWidth="9.140625" defaultRowHeight="15"/>
  <cols>
    <col min="1" max="1" width="6.7109375" style="165" customWidth="1"/>
    <col min="2" max="2" width="42.140625" style="165" customWidth="1"/>
    <col min="3" max="3" width="11.140625" style="165" customWidth="1"/>
    <col min="4" max="4" width="16.42578125" style="166" customWidth="1"/>
    <col min="5" max="5" width="16" style="165" customWidth="1"/>
    <col min="6" max="7" width="20.28515625" style="165" customWidth="1"/>
    <col min="8" max="8" width="16.28515625" style="165" customWidth="1"/>
    <col min="9" max="11" width="0" style="165" hidden="1" customWidth="1"/>
    <col min="12" max="12" width="0.28515625" style="165" customWidth="1"/>
    <col min="13" max="13" width="0.42578125" style="165" hidden="1" customWidth="1"/>
    <col min="14" max="16384" width="9.140625" style="165"/>
  </cols>
  <sheetData>
    <row r="1" spans="1:8" s="447" customFormat="1">
      <c r="D1" s="448"/>
      <c r="E1" s="2283" t="s">
        <v>361</v>
      </c>
      <c r="F1" s="2283"/>
      <c r="G1" s="2283"/>
      <c r="H1" s="2283"/>
    </row>
    <row r="2" spans="1:8" s="447" customFormat="1">
      <c r="D2" s="448"/>
      <c r="G2" s="2487"/>
      <c r="H2" s="2487"/>
    </row>
    <row r="3" spans="1:8" s="447" customFormat="1">
      <c r="A3" s="2488" t="s">
        <v>363</v>
      </c>
      <c r="B3" s="2488"/>
      <c r="C3" s="2488"/>
      <c r="D3" s="2488"/>
      <c r="E3" s="2488"/>
      <c r="F3" s="2488"/>
      <c r="G3" s="2488"/>
      <c r="H3" s="2488"/>
    </row>
    <row r="4" spans="1:8">
      <c r="A4" s="2485" t="s">
        <v>198</v>
      </c>
      <c r="B4" s="2485"/>
      <c r="C4" s="2485"/>
      <c r="D4" s="2485"/>
      <c r="E4" s="2485"/>
      <c r="F4" s="2485"/>
      <c r="G4" s="2485"/>
      <c r="H4" s="2485"/>
    </row>
    <row r="5" spans="1:8" ht="15.75" thickBot="1">
      <c r="A5" s="167"/>
      <c r="B5" s="167"/>
      <c r="C5" s="167"/>
      <c r="D5" s="167"/>
      <c r="E5" s="167"/>
      <c r="F5" s="167"/>
      <c r="G5" s="167"/>
      <c r="H5" s="168" t="s">
        <v>176</v>
      </c>
    </row>
    <row r="6" spans="1:8" ht="45">
      <c r="A6" s="169" t="s">
        <v>14</v>
      </c>
      <c r="B6" s="170" t="s">
        <v>188</v>
      </c>
      <c r="C6" s="170" t="s">
        <v>189</v>
      </c>
      <c r="D6" s="170" t="s">
        <v>190</v>
      </c>
      <c r="E6" s="170" t="s">
        <v>191</v>
      </c>
      <c r="F6" s="170" t="s">
        <v>192</v>
      </c>
      <c r="G6" s="170" t="s">
        <v>193</v>
      </c>
      <c r="H6" s="325" t="s">
        <v>194</v>
      </c>
    </row>
    <row r="7" spans="1:8">
      <c r="A7" s="171">
        <v>1</v>
      </c>
      <c r="B7" s="172">
        <v>2</v>
      </c>
      <c r="C7" s="172">
        <v>3</v>
      </c>
      <c r="D7" s="172">
        <v>4</v>
      </c>
      <c r="E7" s="172">
        <v>5</v>
      </c>
      <c r="F7" s="172">
        <v>6</v>
      </c>
      <c r="G7" s="172">
        <v>7</v>
      </c>
      <c r="H7" s="1133">
        <v>8</v>
      </c>
    </row>
    <row r="8" spans="1:8">
      <c r="A8" s="921">
        <v>1</v>
      </c>
      <c r="B8" s="922" t="s">
        <v>676</v>
      </c>
      <c r="C8" s="923"/>
      <c r="D8" s="923"/>
      <c r="E8" s="924"/>
      <c r="F8" s="925"/>
      <c r="G8" s="926"/>
      <c r="H8" s="927"/>
    </row>
    <row r="9" spans="1:8">
      <c r="A9" s="921">
        <v>2</v>
      </c>
      <c r="B9" s="920"/>
      <c r="C9" s="310"/>
      <c r="D9" s="310"/>
      <c r="E9" s="311"/>
      <c r="F9" s="312"/>
      <c r="G9" s="313"/>
      <c r="H9" s="927"/>
    </row>
    <row r="10" spans="1:8">
      <c r="A10" s="921">
        <v>3</v>
      </c>
      <c r="B10" s="928"/>
      <c r="C10" s="926"/>
      <c r="D10" s="926"/>
      <c r="E10" s="924"/>
      <c r="F10" s="925"/>
      <c r="G10" s="926"/>
      <c r="H10" s="927"/>
    </row>
    <row r="11" spans="1:8">
      <c r="A11" s="921">
        <v>4</v>
      </c>
      <c r="B11" s="928"/>
      <c r="C11" s="926"/>
      <c r="D11" s="926"/>
      <c r="E11" s="924"/>
      <c r="F11" s="925"/>
      <c r="G11" s="926"/>
      <c r="H11" s="927"/>
    </row>
    <row r="12" spans="1:8">
      <c r="A12" s="921">
        <v>5</v>
      </c>
      <c r="B12" s="928"/>
      <c r="C12" s="926"/>
      <c r="D12" s="926"/>
      <c r="E12" s="924"/>
      <c r="F12" s="925"/>
      <c r="G12" s="926"/>
      <c r="H12" s="927"/>
    </row>
    <row r="13" spans="1:8">
      <c r="A13" s="921">
        <v>6</v>
      </c>
      <c r="B13" s="922" t="s">
        <v>677</v>
      </c>
      <c r="C13" s="923"/>
      <c r="D13" s="923"/>
      <c r="E13" s="924"/>
      <c r="F13" s="925"/>
      <c r="G13" s="926"/>
      <c r="H13" s="927"/>
    </row>
    <row r="14" spans="1:8">
      <c r="A14" s="921">
        <v>7</v>
      </c>
      <c r="B14" s="919"/>
      <c r="C14" s="926"/>
      <c r="D14" s="310"/>
      <c r="E14" s="311"/>
      <c r="F14" s="925"/>
      <c r="G14" s="313"/>
      <c r="H14" s="927"/>
    </row>
    <row r="15" spans="1:8">
      <c r="A15" s="921">
        <v>8</v>
      </c>
      <c r="B15" s="919"/>
      <c r="C15" s="926"/>
      <c r="D15" s="310"/>
      <c r="E15" s="311"/>
      <c r="F15" s="925"/>
      <c r="G15" s="313"/>
      <c r="H15" s="927"/>
    </row>
    <row r="16" spans="1:8">
      <c r="A16" s="921">
        <v>9</v>
      </c>
      <c r="B16" s="264"/>
      <c r="C16" s="926"/>
      <c r="D16" s="310"/>
      <c r="E16" s="929"/>
      <c r="F16" s="925"/>
      <c r="G16" s="313"/>
      <c r="H16" s="927"/>
    </row>
    <row r="17" spans="1:18">
      <c r="A17" s="921">
        <v>10</v>
      </c>
      <c r="B17" s="930"/>
      <c r="C17" s="926"/>
      <c r="D17" s="314"/>
      <c r="E17" s="311"/>
      <c r="F17" s="925"/>
      <c r="G17" s="313"/>
      <c r="H17" s="927"/>
    </row>
    <row r="18" spans="1:18">
      <c r="A18" s="921">
        <v>11</v>
      </c>
      <c r="B18" s="931"/>
      <c r="C18" s="310"/>
      <c r="D18" s="313"/>
      <c r="E18" s="311"/>
      <c r="F18" s="312"/>
      <c r="G18" s="313"/>
      <c r="H18" s="927"/>
    </row>
    <row r="19" spans="1:18" hidden="1">
      <c r="A19" s="332"/>
      <c r="B19" s="264"/>
      <c r="C19" s="310"/>
      <c r="D19" s="310"/>
      <c r="E19" s="311"/>
      <c r="F19" s="312"/>
      <c r="G19" s="313"/>
      <c r="H19" s="328"/>
    </row>
    <row r="20" spans="1:18" hidden="1">
      <c r="A20" s="332"/>
      <c r="B20" s="264"/>
      <c r="C20" s="310"/>
      <c r="D20" s="310"/>
      <c r="E20" s="311"/>
      <c r="F20" s="312"/>
      <c r="G20" s="313"/>
      <c r="H20" s="328"/>
    </row>
    <row r="21" spans="1:18" hidden="1">
      <c r="A21" s="332"/>
      <c r="B21" s="264"/>
      <c r="C21" s="310"/>
      <c r="D21" s="310"/>
      <c r="E21" s="311"/>
      <c r="F21" s="312"/>
      <c r="G21" s="313"/>
      <c r="H21" s="328"/>
    </row>
    <row r="22" spans="1:18">
      <c r="A22" s="333"/>
      <c r="B22" s="315" t="s">
        <v>195</v>
      </c>
      <c r="C22" s="313"/>
      <c r="D22" s="313"/>
      <c r="E22" s="311"/>
      <c r="F22" s="312"/>
      <c r="G22" s="313"/>
      <c r="H22" s="329">
        <f>SUM(H9:H19)</f>
        <v>0</v>
      </c>
    </row>
    <row r="23" spans="1:18">
      <c r="A23" s="333"/>
      <c r="B23" s="316" t="s">
        <v>196</v>
      </c>
      <c r="C23" s="313"/>
      <c r="D23" s="313"/>
      <c r="E23" s="311"/>
      <c r="F23" s="312"/>
      <c r="G23" s="313"/>
      <c r="H23" s="328">
        <f>ROUND((H22/30.4),2)</f>
        <v>0</v>
      </c>
    </row>
    <row r="24" spans="1:18" ht="15.75" thickBot="1">
      <c r="A24" s="334"/>
      <c r="B24" s="318" t="s">
        <v>197</v>
      </c>
      <c r="C24" s="319" t="s">
        <v>62</v>
      </c>
      <c r="D24" s="323">
        <f>'№8.1.2 Амортизация БО'!D14</f>
        <v>0</v>
      </c>
      <c r="E24" s="320"/>
      <c r="F24" s="321"/>
      <c r="G24" s="322"/>
      <c r="H24" s="331">
        <f>ROUND(H23*D24,2)</f>
        <v>0</v>
      </c>
    </row>
    <row r="25" spans="1:18">
      <c r="B25" s="173"/>
    </row>
    <row r="26" spans="1:18">
      <c r="B26" s="174"/>
      <c r="C26" s="175"/>
      <c r="D26" s="2327"/>
      <c r="E26" s="2327"/>
      <c r="F26" s="2327"/>
    </row>
    <row r="27" spans="1:18">
      <c r="B27" s="77"/>
      <c r="C27" s="175"/>
      <c r="D27" s="77"/>
      <c r="E27" s="77"/>
      <c r="F27" s="176"/>
    </row>
    <row r="28" spans="1:18">
      <c r="B28" s="174"/>
      <c r="C28" s="175"/>
      <c r="D28" s="2486"/>
      <c r="E28" s="2486"/>
      <c r="F28" s="2486"/>
    </row>
    <row r="29" spans="1:18">
      <c r="B29" s="174"/>
      <c r="C29" s="175"/>
      <c r="D29" s="2486"/>
      <c r="E29" s="2486"/>
      <c r="F29" s="2486"/>
    </row>
    <row r="30" spans="1:18" s="77" customFormat="1" ht="29.25" customHeight="1">
      <c r="B30" s="259"/>
      <c r="D30" s="2464"/>
      <c r="E30" s="2464"/>
      <c r="G30" s="259"/>
      <c r="I30" s="2327"/>
      <c r="J30" s="2327"/>
      <c r="K30" s="108"/>
      <c r="L30" s="2327"/>
      <c r="M30" s="2327"/>
    </row>
    <row r="31" spans="1:18" s="77" customFormat="1">
      <c r="B31" s="118" t="s">
        <v>126</v>
      </c>
      <c r="D31" s="2480" t="s">
        <v>124</v>
      </c>
      <c r="E31" s="2480"/>
      <c r="G31" s="119" t="s">
        <v>127</v>
      </c>
      <c r="I31" s="2327"/>
      <c r="J31" s="2327"/>
      <c r="K31" s="108"/>
      <c r="L31" s="2462"/>
      <c r="M31" s="2462"/>
    </row>
    <row r="32" spans="1:18" s="141" customFormat="1">
      <c r="I32" s="142"/>
      <c r="J32" s="142"/>
      <c r="K32" s="142"/>
      <c r="L32" s="142"/>
      <c r="M32" s="142"/>
      <c r="N32" s="142"/>
      <c r="O32" s="142"/>
      <c r="P32" s="142"/>
      <c r="Q32" s="142"/>
      <c r="R32" s="142"/>
    </row>
  </sheetData>
  <mergeCells count="13">
    <mergeCell ref="E1:H1"/>
    <mergeCell ref="G2:H2"/>
    <mergeCell ref="A3:H3"/>
    <mergeCell ref="I30:J30"/>
    <mergeCell ref="L30:M30"/>
    <mergeCell ref="I31:J31"/>
    <mergeCell ref="L31:M31"/>
    <mergeCell ref="A4:H4"/>
    <mergeCell ref="D26:F26"/>
    <mergeCell ref="D28:F28"/>
    <mergeCell ref="D29:F29"/>
    <mergeCell ref="D30:E30"/>
    <mergeCell ref="D31:E31"/>
  </mergeCells>
  <phoneticPr fontId="17" type="noConversion"/>
  <pageMargins left="0.55118110236220474" right="0.35433070866141736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22"/>
  <sheetViews>
    <sheetView workbookViewId="0">
      <selection activeCell="F20" sqref="B20:F20"/>
    </sheetView>
  </sheetViews>
  <sheetFormatPr defaultColWidth="9.140625" defaultRowHeight="15"/>
  <cols>
    <col min="1" max="1" width="4.85546875" style="77" customWidth="1"/>
    <col min="2" max="2" width="32.85546875" style="77" customWidth="1"/>
    <col min="3" max="3" width="10.7109375" style="77" customWidth="1"/>
    <col min="4" max="4" width="15.7109375" style="77" customWidth="1"/>
    <col min="5" max="5" width="13.140625" style="77" customWidth="1"/>
    <col min="6" max="6" width="19.28515625" style="77" customWidth="1"/>
    <col min="7" max="7" width="0" style="77" hidden="1" customWidth="1"/>
    <col min="8" max="8" width="0.42578125" style="77" customWidth="1"/>
    <col min="9" max="9" width="0.85546875" style="77" customWidth="1"/>
    <col min="10" max="13" width="0" style="77" hidden="1" customWidth="1"/>
    <col min="14" max="14" width="9.140625" style="77"/>
    <col min="15" max="15" width="11.7109375" style="77" customWidth="1"/>
    <col min="16" max="16" width="13.7109375" style="77" bestFit="1" customWidth="1"/>
    <col min="17" max="16384" width="9.140625" style="77"/>
  </cols>
  <sheetData>
    <row r="1" spans="1:16">
      <c r="C1" s="2283" t="s">
        <v>361</v>
      </c>
      <c r="D1" s="2283"/>
      <c r="E1" s="2283"/>
      <c r="F1" s="2283"/>
    </row>
    <row r="2" spans="1:16">
      <c r="C2" s="449"/>
      <c r="D2" s="449"/>
      <c r="E2" s="449"/>
      <c r="F2" s="450"/>
    </row>
    <row r="3" spans="1:16">
      <c r="A3" s="2284" t="s">
        <v>364</v>
      </c>
      <c r="B3" s="2284"/>
      <c r="C3" s="2284"/>
      <c r="D3" s="2284"/>
      <c r="E3" s="2284"/>
      <c r="F3" s="2284"/>
    </row>
    <row r="4" spans="1:16">
      <c r="A4" s="2284" t="s">
        <v>199</v>
      </c>
      <c r="B4" s="2284"/>
      <c r="C4" s="2284"/>
      <c r="D4" s="2284"/>
      <c r="E4" s="2284"/>
      <c r="F4" s="2284"/>
    </row>
    <row r="5" spans="1:16" ht="15.75" thickBot="1">
      <c r="A5" s="26"/>
      <c r="B5" s="26"/>
      <c r="C5" s="26"/>
      <c r="D5" s="26"/>
      <c r="E5" s="26"/>
      <c r="F5" s="177" t="s">
        <v>176</v>
      </c>
    </row>
    <row r="6" spans="1:16" ht="45">
      <c r="A6" s="178" t="s">
        <v>14</v>
      </c>
      <c r="B6" s="179" t="s">
        <v>125</v>
      </c>
      <c r="C6" s="91" t="s">
        <v>2</v>
      </c>
      <c r="D6" s="91" t="s">
        <v>16</v>
      </c>
      <c r="E6" s="91" t="s">
        <v>200</v>
      </c>
      <c r="F6" s="92" t="s">
        <v>201</v>
      </c>
    </row>
    <row r="7" spans="1:16">
      <c r="A7" s="79">
        <v>1</v>
      </c>
      <c r="B7" s="80">
        <v>2</v>
      </c>
      <c r="C7" s="80">
        <v>3</v>
      </c>
      <c r="D7" s="80">
        <v>4</v>
      </c>
      <c r="E7" s="80">
        <v>5</v>
      </c>
      <c r="F7" s="81">
        <v>6</v>
      </c>
    </row>
    <row r="8" spans="1:16">
      <c r="A8" s="186" t="s">
        <v>24</v>
      </c>
      <c r="B8" s="68"/>
      <c r="C8" s="95" t="s">
        <v>678</v>
      </c>
      <c r="D8" s="294"/>
      <c r="E8" s="297"/>
      <c r="F8" s="637"/>
    </row>
    <row r="9" spans="1:16">
      <c r="A9" s="83"/>
      <c r="B9" s="122" t="s">
        <v>81</v>
      </c>
      <c r="C9" s="64"/>
      <c r="D9" s="65"/>
      <c r="E9" s="295"/>
      <c r="F9" s="269"/>
      <c r="P9" s="266"/>
    </row>
    <row r="10" spans="1:16">
      <c r="A10" s="89"/>
      <c r="B10" s="69" t="s">
        <v>67</v>
      </c>
      <c r="C10" s="65"/>
      <c r="D10" s="65"/>
      <c r="E10" s="65"/>
      <c r="F10" s="276"/>
    </row>
    <row r="11" spans="1:16">
      <c r="A11" s="180"/>
      <c r="B11" s="123" t="s">
        <v>196</v>
      </c>
      <c r="C11" s="93"/>
      <c r="D11" s="93"/>
      <c r="E11" s="94"/>
      <c r="F11" s="276"/>
    </row>
    <row r="12" spans="1:16" ht="15.75" thickBot="1">
      <c r="A12" s="181"/>
      <c r="B12" s="182" t="s">
        <v>197</v>
      </c>
      <c r="C12" s="336" t="s">
        <v>62</v>
      </c>
      <c r="D12" s="337">
        <f>' № 8.1.3 Амортизация БХ'!D24</f>
        <v>0</v>
      </c>
      <c r="E12" s="183"/>
      <c r="F12" s="335">
        <f>ROUND(D12*F11,2)</f>
        <v>0</v>
      </c>
    </row>
    <row r="20" spans="2:18">
      <c r="B20" s="259"/>
      <c r="C20" s="184"/>
      <c r="D20" s="185"/>
      <c r="E20" s="117"/>
      <c r="F20" s="259"/>
      <c r="G20" s="116"/>
      <c r="I20" s="2327"/>
      <c r="J20" s="2327"/>
      <c r="K20" s="108"/>
      <c r="L20" s="2327"/>
      <c r="M20" s="2327"/>
    </row>
    <row r="21" spans="2:18">
      <c r="B21" s="118" t="s">
        <v>126</v>
      </c>
      <c r="C21" s="117"/>
      <c r="D21" s="139" t="s">
        <v>124</v>
      </c>
      <c r="E21" s="117"/>
      <c r="F21" s="76" t="s">
        <v>204</v>
      </c>
      <c r="G21" s="119" t="s">
        <v>127</v>
      </c>
      <c r="I21" s="2327"/>
      <c r="J21" s="2327"/>
      <c r="K21" s="108"/>
      <c r="L21" s="2462"/>
      <c r="M21" s="2462"/>
    </row>
    <row r="22" spans="2:18" s="141" customFormat="1">
      <c r="I22" s="142"/>
      <c r="J22" s="142"/>
      <c r="K22" s="142"/>
      <c r="L22" s="142"/>
      <c r="M22" s="142"/>
      <c r="N22" s="142"/>
      <c r="O22" s="142"/>
      <c r="P22" s="142"/>
      <c r="Q22" s="142"/>
      <c r="R22" s="142"/>
    </row>
  </sheetData>
  <mergeCells count="7">
    <mergeCell ref="C1:F1"/>
    <mergeCell ref="A3:F3"/>
    <mergeCell ref="I21:J21"/>
    <mergeCell ref="L21:M21"/>
    <mergeCell ref="A4:F4"/>
    <mergeCell ref="I20:J20"/>
    <mergeCell ref="L20:M20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16" zoomScaleNormal="100" workbookViewId="0">
      <selection activeCell="T34" sqref="T34"/>
    </sheetView>
  </sheetViews>
  <sheetFormatPr defaultRowHeight="12.75"/>
  <cols>
    <col min="1" max="1" width="3.85546875" style="1" bestFit="1" customWidth="1"/>
    <col min="2" max="2" width="30.28515625" style="1" bestFit="1" customWidth="1"/>
    <col min="3" max="3" width="9" style="1" customWidth="1"/>
    <col min="4" max="5" width="11.28515625" style="1" customWidth="1"/>
    <col min="6" max="6" width="9" style="1" customWidth="1"/>
    <col min="7" max="7" width="11.42578125" style="1" customWidth="1"/>
    <col min="8" max="9" width="9" style="1" customWidth="1"/>
    <col min="10" max="10" width="11.28515625" style="1" customWidth="1"/>
    <col min="11" max="12" width="9" style="1" customWidth="1"/>
    <col min="13" max="13" width="12.28515625" style="1" customWidth="1"/>
    <col min="14" max="15" width="9" style="1" customWidth="1"/>
    <col min="16" max="16" width="14.140625" style="1" customWidth="1"/>
    <col min="17" max="17" width="14.28515625" style="1" customWidth="1"/>
  </cols>
  <sheetData>
    <row r="1" spans="1:17" s="77" customFormat="1" ht="15.75" customHeight="1" thickBot="1">
      <c r="A1" s="2210" t="s">
        <v>110</v>
      </c>
      <c r="B1" s="2212" t="s">
        <v>34</v>
      </c>
      <c r="C1" s="2214" t="s">
        <v>1304</v>
      </c>
      <c r="D1" s="2217" t="s">
        <v>1305</v>
      </c>
      <c r="E1" s="2220" t="s">
        <v>820</v>
      </c>
      <c r="F1" s="2221"/>
      <c r="G1" s="2221"/>
      <c r="H1" s="2221"/>
      <c r="I1" s="2221"/>
      <c r="J1" s="2221"/>
      <c r="K1" s="2221"/>
      <c r="L1" s="2221"/>
      <c r="M1" s="2221"/>
      <c r="N1" s="2221"/>
      <c r="O1" s="2221"/>
      <c r="P1" s="2221"/>
      <c r="Q1" s="1"/>
    </row>
    <row r="2" spans="1:17" s="77" customFormat="1" ht="15" customHeight="1">
      <c r="A2" s="2211"/>
      <c r="B2" s="2213"/>
      <c r="C2" s="2215"/>
      <c r="D2" s="2218"/>
      <c r="E2" s="2222" t="s">
        <v>821</v>
      </c>
      <c r="F2" s="2223"/>
      <c r="G2" s="2224"/>
      <c r="H2" s="2225" t="s">
        <v>822</v>
      </c>
      <c r="I2" s="2226"/>
      <c r="J2" s="2227"/>
      <c r="K2" s="2225" t="s">
        <v>1306</v>
      </c>
      <c r="L2" s="2226"/>
      <c r="M2" s="2227"/>
      <c r="N2" s="2225" t="s">
        <v>1307</v>
      </c>
      <c r="O2" s="2226"/>
      <c r="P2" s="2227"/>
      <c r="Q2" s="1"/>
    </row>
    <row r="3" spans="1:17" s="77" customFormat="1" ht="27" customHeight="1">
      <c r="A3" s="2211"/>
      <c r="B3" s="2213"/>
      <c r="C3" s="2215"/>
      <c r="D3" s="2218"/>
      <c r="E3" s="1954" t="s">
        <v>1308</v>
      </c>
      <c r="F3" s="1955">
        <f>F48</f>
        <v>60</v>
      </c>
      <c r="G3" s="1956" t="s">
        <v>600</v>
      </c>
      <c r="H3" s="1954" t="s">
        <v>1308</v>
      </c>
      <c r="I3" s="1955">
        <f>I48</f>
        <v>93.272164638850001</v>
      </c>
      <c r="J3" s="1956" t="s">
        <v>600</v>
      </c>
      <c r="K3" s="1954" t="s">
        <v>1308</v>
      </c>
      <c r="L3" s="1955">
        <f>L48</f>
        <v>186.10236795129998</v>
      </c>
      <c r="M3" s="1956" t="s">
        <v>600</v>
      </c>
      <c r="N3" s="1954" t="s">
        <v>1308</v>
      </c>
      <c r="O3" s="1955">
        <f>O48</f>
        <v>66.160227322600008</v>
      </c>
      <c r="P3" s="1956" t="s">
        <v>600</v>
      </c>
      <c r="Q3" s="1"/>
    </row>
    <row r="4" spans="1:17" s="1" customFormat="1" ht="27.75" thickBot="1">
      <c r="A4" s="2211"/>
      <c r="B4" s="2213"/>
      <c r="C4" s="2216"/>
      <c r="D4" s="2219"/>
      <c r="E4" s="1957" t="s">
        <v>1309</v>
      </c>
      <c r="F4" s="1958" t="s">
        <v>1310</v>
      </c>
      <c r="G4" s="1959" t="s">
        <v>1311</v>
      </c>
      <c r="H4" s="1957" t="s">
        <v>1309</v>
      </c>
      <c r="I4" s="1958" t="s">
        <v>1310</v>
      </c>
      <c r="J4" s="1959" t="s">
        <v>1311</v>
      </c>
      <c r="K4" s="1957" t="s">
        <v>1309</v>
      </c>
      <c r="L4" s="1958" t="s">
        <v>1310</v>
      </c>
      <c r="M4" s="1959" t="s">
        <v>1311</v>
      </c>
      <c r="N4" s="1957" t="s">
        <v>1309</v>
      </c>
      <c r="O4" s="1958" t="s">
        <v>1310</v>
      </c>
      <c r="P4" s="1959" t="s">
        <v>1311</v>
      </c>
    </row>
    <row r="5" spans="1:17" s="77" customFormat="1" ht="15">
      <c r="A5" s="1960">
        <v>1</v>
      </c>
      <c r="B5" s="1961" t="s">
        <v>1312</v>
      </c>
      <c r="C5" s="1304"/>
      <c r="D5" s="1962"/>
      <c r="E5" s="1963"/>
      <c r="F5" s="1964"/>
      <c r="G5" s="1965"/>
      <c r="H5" s="1966"/>
      <c r="I5" s="1967"/>
      <c r="J5" s="1968"/>
      <c r="K5" s="1966"/>
      <c r="L5" s="1304"/>
      <c r="M5" s="1968"/>
      <c r="N5" s="1966"/>
      <c r="O5" s="1304"/>
      <c r="P5" s="1968"/>
      <c r="Q5" s="1"/>
    </row>
    <row r="6" spans="1:17" s="77" customFormat="1" ht="15">
      <c r="A6" s="1960"/>
      <c r="B6" s="1969"/>
      <c r="C6" s="1970" t="s">
        <v>98</v>
      </c>
      <c r="D6" s="1971"/>
      <c r="E6" s="1972"/>
      <c r="F6" s="1967">
        <f>E6*$F$3</f>
        <v>0</v>
      </c>
      <c r="G6" s="978">
        <f t="shared" ref="G6:G33" si="0">F6*D6</f>
        <v>0</v>
      </c>
      <c r="H6" s="1972"/>
      <c r="I6" s="1967">
        <f>H6*$F$3</f>
        <v>0</v>
      </c>
      <c r="J6" s="978">
        <f t="shared" ref="J6:J33" si="1">I6*G6</f>
        <v>0</v>
      </c>
      <c r="K6" s="1972"/>
      <c r="L6" s="1967">
        <f>K6*$F$3</f>
        <v>0</v>
      </c>
      <c r="M6" s="978">
        <f t="shared" ref="M6:M33" si="2">L6*J6</f>
        <v>0</v>
      </c>
      <c r="N6" s="1972"/>
      <c r="O6" s="1967">
        <f>N6*$F$3</f>
        <v>0</v>
      </c>
      <c r="P6" s="978">
        <f t="shared" ref="P6:P33" si="3">O6*M6</f>
        <v>0</v>
      </c>
      <c r="Q6" s="1"/>
    </row>
    <row r="7" spans="1:17" s="58" customFormat="1">
      <c r="A7" s="1960"/>
      <c r="B7" s="1969"/>
      <c r="C7" s="1970" t="s">
        <v>98</v>
      </c>
      <c r="D7" s="1971"/>
      <c r="E7" s="1972"/>
      <c r="F7" s="1967">
        <f t="shared" ref="F7:F33" si="4">E7*$F$3</f>
        <v>0</v>
      </c>
      <c r="G7" s="978">
        <f t="shared" si="0"/>
        <v>0</v>
      </c>
      <c r="H7" s="1972"/>
      <c r="I7" s="1967">
        <f t="shared" ref="I7:I33" si="5">H7*$F$3</f>
        <v>0</v>
      </c>
      <c r="J7" s="978">
        <f t="shared" si="1"/>
        <v>0</v>
      </c>
      <c r="K7" s="1972"/>
      <c r="L7" s="1967">
        <f t="shared" ref="L7:L33" si="6">K7*$F$3</f>
        <v>0</v>
      </c>
      <c r="M7" s="978">
        <f t="shared" si="2"/>
        <v>0</v>
      </c>
      <c r="N7" s="1972"/>
      <c r="O7" s="1967">
        <f t="shared" ref="O7:O33" si="7">N7*$F$3</f>
        <v>0</v>
      </c>
      <c r="P7" s="978">
        <f t="shared" si="3"/>
        <v>0</v>
      </c>
      <c r="Q7" s="1"/>
    </row>
    <row r="8" spans="1:17" ht="12.4" customHeight="1">
      <c r="A8" s="1960"/>
      <c r="B8" s="1969"/>
      <c r="C8" s="1970" t="s">
        <v>98</v>
      </c>
      <c r="D8" s="1971"/>
      <c r="E8" s="1972"/>
      <c r="F8" s="1967">
        <f t="shared" si="4"/>
        <v>0</v>
      </c>
      <c r="G8" s="978">
        <f t="shared" si="0"/>
        <v>0</v>
      </c>
      <c r="H8" s="1972"/>
      <c r="I8" s="1967">
        <f t="shared" si="5"/>
        <v>0</v>
      </c>
      <c r="J8" s="978">
        <f t="shared" si="1"/>
        <v>0</v>
      </c>
      <c r="K8" s="1972"/>
      <c r="L8" s="1967">
        <f t="shared" si="6"/>
        <v>0</v>
      </c>
      <c r="M8" s="978">
        <f t="shared" si="2"/>
        <v>0</v>
      </c>
      <c r="N8" s="1972"/>
      <c r="O8" s="1967">
        <f t="shared" si="7"/>
        <v>0</v>
      </c>
      <c r="P8" s="978">
        <f t="shared" si="3"/>
        <v>0</v>
      </c>
    </row>
    <row r="9" spans="1:17" s="77" customFormat="1" ht="43.5" customHeight="1">
      <c r="A9" s="1973"/>
      <c r="B9" s="1974"/>
      <c r="C9" s="1970" t="s">
        <v>98</v>
      </c>
      <c r="D9" s="1971"/>
      <c r="E9" s="1972"/>
      <c r="F9" s="1967">
        <f t="shared" si="4"/>
        <v>0</v>
      </c>
      <c r="G9" s="978">
        <f t="shared" si="0"/>
        <v>0</v>
      </c>
      <c r="H9" s="1972"/>
      <c r="I9" s="1967">
        <f t="shared" si="5"/>
        <v>0</v>
      </c>
      <c r="J9" s="978">
        <f t="shared" si="1"/>
        <v>0</v>
      </c>
      <c r="K9" s="1972"/>
      <c r="L9" s="1967">
        <f t="shared" si="6"/>
        <v>0</v>
      </c>
      <c r="M9" s="978">
        <f t="shared" si="2"/>
        <v>0</v>
      </c>
      <c r="N9" s="1972"/>
      <c r="O9" s="1967">
        <f t="shared" si="7"/>
        <v>0</v>
      </c>
      <c r="P9" s="978">
        <f t="shared" si="3"/>
        <v>0</v>
      </c>
      <c r="Q9" s="1"/>
    </row>
    <row r="10" spans="1:17" s="77" customFormat="1" ht="13.7" customHeight="1">
      <c r="A10" s="1973"/>
      <c r="B10" s="1974"/>
      <c r="C10" s="1970" t="s">
        <v>98</v>
      </c>
      <c r="D10" s="1971"/>
      <c r="E10" s="1972"/>
      <c r="F10" s="1967">
        <f t="shared" si="4"/>
        <v>0</v>
      </c>
      <c r="G10" s="978">
        <f t="shared" si="0"/>
        <v>0</v>
      </c>
      <c r="H10" s="1972"/>
      <c r="I10" s="1967">
        <f t="shared" si="5"/>
        <v>0</v>
      </c>
      <c r="J10" s="978">
        <f t="shared" si="1"/>
        <v>0</v>
      </c>
      <c r="K10" s="1972"/>
      <c r="L10" s="1967">
        <f t="shared" si="6"/>
        <v>0</v>
      </c>
      <c r="M10" s="978">
        <f t="shared" si="2"/>
        <v>0</v>
      </c>
      <c r="N10" s="1972"/>
      <c r="O10" s="1967">
        <f t="shared" si="7"/>
        <v>0</v>
      </c>
      <c r="P10" s="978">
        <f t="shared" si="3"/>
        <v>0</v>
      </c>
      <c r="Q10" s="1"/>
    </row>
    <row r="11" spans="1:17" s="77" customFormat="1" ht="13.7" customHeight="1">
      <c r="A11" s="1973"/>
      <c r="B11" s="1974"/>
      <c r="C11" s="1970" t="s">
        <v>98</v>
      </c>
      <c r="D11" s="1971"/>
      <c r="E11" s="1972"/>
      <c r="F11" s="1967">
        <f t="shared" si="4"/>
        <v>0</v>
      </c>
      <c r="G11" s="978">
        <f t="shared" si="0"/>
        <v>0</v>
      </c>
      <c r="H11" s="1972"/>
      <c r="I11" s="1967">
        <f t="shared" si="5"/>
        <v>0</v>
      </c>
      <c r="J11" s="978">
        <f t="shared" si="1"/>
        <v>0</v>
      </c>
      <c r="K11" s="1972"/>
      <c r="L11" s="1967">
        <f t="shared" si="6"/>
        <v>0</v>
      </c>
      <c r="M11" s="978">
        <f t="shared" si="2"/>
        <v>0</v>
      </c>
      <c r="N11" s="1972"/>
      <c r="O11" s="1967">
        <f t="shared" si="7"/>
        <v>0</v>
      </c>
      <c r="P11" s="978">
        <f t="shared" si="3"/>
        <v>0</v>
      </c>
      <c r="Q11" s="1"/>
    </row>
    <row r="12" spans="1:17" s="77" customFormat="1" ht="13.7" customHeight="1">
      <c r="A12" s="1973"/>
      <c r="B12" s="1969"/>
      <c r="C12" s="1970" t="s">
        <v>98</v>
      </c>
      <c r="D12" s="1971"/>
      <c r="E12" s="1972"/>
      <c r="F12" s="1967">
        <f t="shared" si="4"/>
        <v>0</v>
      </c>
      <c r="G12" s="978">
        <f t="shared" si="0"/>
        <v>0</v>
      </c>
      <c r="H12" s="1972"/>
      <c r="I12" s="1967">
        <f t="shared" si="5"/>
        <v>0</v>
      </c>
      <c r="J12" s="978">
        <f t="shared" si="1"/>
        <v>0</v>
      </c>
      <c r="K12" s="1972"/>
      <c r="L12" s="1967">
        <f t="shared" si="6"/>
        <v>0</v>
      </c>
      <c r="M12" s="978">
        <f t="shared" si="2"/>
        <v>0</v>
      </c>
      <c r="N12" s="1972"/>
      <c r="O12" s="1967">
        <f t="shared" si="7"/>
        <v>0</v>
      </c>
      <c r="P12" s="978">
        <f t="shared" si="3"/>
        <v>0</v>
      </c>
      <c r="Q12" s="1"/>
    </row>
    <row r="13" spans="1:17" s="77" customFormat="1" ht="29.25" customHeight="1">
      <c r="A13" s="1975"/>
      <c r="B13" s="1976"/>
      <c r="C13" s="1970" t="s">
        <v>98</v>
      </c>
      <c r="D13" s="1971"/>
      <c r="E13" s="1972"/>
      <c r="F13" s="1967">
        <f t="shared" si="4"/>
        <v>0</v>
      </c>
      <c r="G13" s="978">
        <f t="shared" si="0"/>
        <v>0</v>
      </c>
      <c r="H13" s="1972"/>
      <c r="I13" s="1967">
        <f t="shared" si="5"/>
        <v>0</v>
      </c>
      <c r="J13" s="978">
        <f t="shared" si="1"/>
        <v>0</v>
      </c>
      <c r="K13" s="1972"/>
      <c r="L13" s="1967">
        <f t="shared" si="6"/>
        <v>0</v>
      </c>
      <c r="M13" s="978">
        <f t="shared" si="2"/>
        <v>0</v>
      </c>
      <c r="N13" s="1972"/>
      <c r="O13" s="1967">
        <f t="shared" si="7"/>
        <v>0</v>
      </c>
      <c r="P13" s="978">
        <f t="shared" si="3"/>
        <v>0</v>
      </c>
      <c r="Q13" s="1"/>
    </row>
    <row r="14" spans="1:17" s="77" customFormat="1" ht="14.25" customHeight="1">
      <c r="A14" s="1977"/>
      <c r="B14" s="1974"/>
      <c r="C14" s="1970" t="s">
        <v>98</v>
      </c>
      <c r="D14" s="1971"/>
      <c r="E14" s="1972"/>
      <c r="F14" s="1967">
        <f t="shared" si="4"/>
        <v>0</v>
      </c>
      <c r="G14" s="978">
        <f t="shared" si="0"/>
        <v>0</v>
      </c>
      <c r="H14" s="1972"/>
      <c r="I14" s="1967">
        <f t="shared" si="5"/>
        <v>0</v>
      </c>
      <c r="J14" s="978">
        <f t="shared" si="1"/>
        <v>0</v>
      </c>
      <c r="K14" s="1972"/>
      <c r="L14" s="1967">
        <f t="shared" si="6"/>
        <v>0</v>
      </c>
      <c r="M14" s="978">
        <f t="shared" si="2"/>
        <v>0</v>
      </c>
      <c r="N14" s="1972"/>
      <c r="O14" s="1967">
        <f t="shared" si="7"/>
        <v>0</v>
      </c>
      <c r="P14" s="978">
        <f t="shared" si="3"/>
        <v>0</v>
      </c>
      <c r="Q14" s="1"/>
    </row>
    <row r="15" spans="1:17" s="77" customFormat="1" ht="14.25" customHeight="1">
      <c r="A15" s="1960"/>
      <c r="B15" s="1969"/>
      <c r="C15" s="1970" t="s">
        <v>98</v>
      </c>
      <c r="D15" s="1971"/>
      <c r="E15" s="1972"/>
      <c r="F15" s="1967">
        <f t="shared" si="4"/>
        <v>0</v>
      </c>
      <c r="G15" s="978">
        <f t="shared" si="0"/>
        <v>0</v>
      </c>
      <c r="H15" s="1972"/>
      <c r="I15" s="1967">
        <f t="shared" si="5"/>
        <v>0</v>
      </c>
      <c r="J15" s="978">
        <f t="shared" si="1"/>
        <v>0</v>
      </c>
      <c r="K15" s="1972"/>
      <c r="L15" s="1967">
        <f t="shared" si="6"/>
        <v>0</v>
      </c>
      <c r="M15" s="978">
        <f t="shared" si="2"/>
        <v>0</v>
      </c>
      <c r="N15" s="1972"/>
      <c r="O15" s="1967">
        <f t="shared" si="7"/>
        <v>0</v>
      </c>
      <c r="P15" s="978">
        <f t="shared" si="3"/>
        <v>0</v>
      </c>
      <c r="Q15" s="1"/>
    </row>
    <row r="16" spans="1:17" s="77" customFormat="1" ht="14.25" customHeight="1">
      <c r="A16" s="1960"/>
      <c r="B16" s="1969"/>
      <c r="C16" s="1970" t="s">
        <v>98</v>
      </c>
      <c r="D16" s="1971"/>
      <c r="E16" s="1972"/>
      <c r="F16" s="1967">
        <f t="shared" si="4"/>
        <v>0</v>
      </c>
      <c r="G16" s="978">
        <f t="shared" si="0"/>
        <v>0</v>
      </c>
      <c r="H16" s="1972"/>
      <c r="I16" s="1967">
        <f t="shared" si="5"/>
        <v>0</v>
      </c>
      <c r="J16" s="978">
        <f t="shared" si="1"/>
        <v>0</v>
      </c>
      <c r="K16" s="1972"/>
      <c r="L16" s="1967">
        <f t="shared" si="6"/>
        <v>0</v>
      </c>
      <c r="M16" s="978">
        <f t="shared" si="2"/>
        <v>0</v>
      </c>
      <c r="N16" s="1972"/>
      <c r="O16" s="1967">
        <f t="shared" si="7"/>
        <v>0</v>
      </c>
      <c r="P16" s="978">
        <f t="shared" si="3"/>
        <v>0</v>
      </c>
      <c r="Q16" s="1"/>
    </row>
    <row r="17" spans="1:17" s="77" customFormat="1" ht="13.7" customHeight="1">
      <c r="A17" s="1960"/>
      <c r="B17" s="1969"/>
      <c r="C17" s="1970" t="s">
        <v>98</v>
      </c>
      <c r="D17" s="1971"/>
      <c r="E17" s="1972"/>
      <c r="F17" s="1967">
        <f t="shared" si="4"/>
        <v>0</v>
      </c>
      <c r="G17" s="978">
        <f t="shared" si="0"/>
        <v>0</v>
      </c>
      <c r="H17" s="1972"/>
      <c r="I17" s="1967">
        <f t="shared" si="5"/>
        <v>0</v>
      </c>
      <c r="J17" s="978">
        <f t="shared" si="1"/>
        <v>0</v>
      </c>
      <c r="K17" s="1972"/>
      <c r="L17" s="1967">
        <f t="shared" si="6"/>
        <v>0</v>
      </c>
      <c r="M17" s="978">
        <f t="shared" si="2"/>
        <v>0</v>
      </c>
      <c r="N17" s="1972"/>
      <c r="O17" s="1967">
        <f t="shared" si="7"/>
        <v>0</v>
      </c>
      <c r="P17" s="978">
        <f t="shared" si="3"/>
        <v>0</v>
      </c>
      <c r="Q17" s="1"/>
    </row>
    <row r="18" spans="1:17" s="77" customFormat="1" ht="13.7" customHeight="1">
      <c r="A18" s="1960"/>
      <c r="B18" s="1969"/>
      <c r="C18" s="1970" t="s">
        <v>98</v>
      </c>
      <c r="D18" s="1971"/>
      <c r="E18" s="1972"/>
      <c r="F18" s="1967">
        <f t="shared" si="4"/>
        <v>0</v>
      </c>
      <c r="G18" s="978">
        <f t="shared" si="0"/>
        <v>0</v>
      </c>
      <c r="H18" s="1972"/>
      <c r="I18" s="1967">
        <f t="shared" si="5"/>
        <v>0</v>
      </c>
      <c r="J18" s="978">
        <f t="shared" si="1"/>
        <v>0</v>
      </c>
      <c r="K18" s="1972"/>
      <c r="L18" s="1967">
        <f t="shared" si="6"/>
        <v>0</v>
      </c>
      <c r="M18" s="978">
        <f t="shared" si="2"/>
        <v>0</v>
      </c>
      <c r="N18" s="1972"/>
      <c r="O18" s="1967">
        <f t="shared" si="7"/>
        <v>0</v>
      </c>
      <c r="P18" s="978">
        <f t="shared" si="3"/>
        <v>0</v>
      </c>
      <c r="Q18" s="1"/>
    </row>
    <row r="19" spans="1:17" s="77" customFormat="1" ht="13.7" customHeight="1">
      <c r="A19" s="1960"/>
      <c r="B19" s="1969"/>
      <c r="C19" s="1970" t="s">
        <v>98</v>
      </c>
      <c r="D19" s="1971"/>
      <c r="E19" s="1972"/>
      <c r="F19" s="1967">
        <f t="shared" si="4"/>
        <v>0</v>
      </c>
      <c r="G19" s="978">
        <f t="shared" si="0"/>
        <v>0</v>
      </c>
      <c r="H19" s="1972"/>
      <c r="I19" s="1967">
        <f t="shared" si="5"/>
        <v>0</v>
      </c>
      <c r="J19" s="978">
        <f t="shared" si="1"/>
        <v>0</v>
      </c>
      <c r="K19" s="1972"/>
      <c r="L19" s="1967">
        <f t="shared" si="6"/>
        <v>0</v>
      </c>
      <c r="M19" s="978">
        <f t="shared" si="2"/>
        <v>0</v>
      </c>
      <c r="N19" s="1972"/>
      <c r="O19" s="1967">
        <f t="shared" si="7"/>
        <v>0</v>
      </c>
      <c r="P19" s="978">
        <f t="shared" si="3"/>
        <v>0</v>
      </c>
      <c r="Q19" s="1"/>
    </row>
    <row r="20" spans="1:17" s="77" customFormat="1" ht="13.7" customHeight="1">
      <c r="A20" s="1960"/>
      <c r="B20" s="1969"/>
      <c r="C20" s="1970" t="s">
        <v>98</v>
      </c>
      <c r="D20" s="1971"/>
      <c r="E20" s="1972"/>
      <c r="F20" s="1967">
        <f t="shared" si="4"/>
        <v>0</v>
      </c>
      <c r="G20" s="978">
        <f t="shared" si="0"/>
        <v>0</v>
      </c>
      <c r="H20" s="1972"/>
      <c r="I20" s="1967">
        <f t="shared" si="5"/>
        <v>0</v>
      </c>
      <c r="J20" s="978">
        <f t="shared" si="1"/>
        <v>0</v>
      </c>
      <c r="K20" s="1972"/>
      <c r="L20" s="1967">
        <f t="shared" si="6"/>
        <v>0</v>
      </c>
      <c r="M20" s="978">
        <f t="shared" si="2"/>
        <v>0</v>
      </c>
      <c r="N20" s="1972"/>
      <c r="O20" s="1967">
        <f t="shared" si="7"/>
        <v>0</v>
      </c>
      <c r="P20" s="978">
        <f t="shared" si="3"/>
        <v>0</v>
      </c>
      <c r="Q20" s="1"/>
    </row>
    <row r="21" spans="1:17" s="77" customFormat="1" ht="13.7" customHeight="1">
      <c r="A21" s="1960"/>
      <c r="B21" s="1969"/>
      <c r="C21" s="1970" t="s">
        <v>98</v>
      </c>
      <c r="D21" s="1971"/>
      <c r="E21" s="1972"/>
      <c r="F21" s="1967">
        <f t="shared" si="4"/>
        <v>0</v>
      </c>
      <c r="G21" s="978">
        <f t="shared" si="0"/>
        <v>0</v>
      </c>
      <c r="H21" s="1972"/>
      <c r="I21" s="1967">
        <f t="shared" si="5"/>
        <v>0</v>
      </c>
      <c r="J21" s="978">
        <f t="shared" si="1"/>
        <v>0</v>
      </c>
      <c r="K21" s="1972"/>
      <c r="L21" s="1967">
        <f t="shared" si="6"/>
        <v>0</v>
      </c>
      <c r="M21" s="978">
        <f t="shared" si="2"/>
        <v>0</v>
      </c>
      <c r="N21" s="1972"/>
      <c r="O21" s="1967">
        <f t="shared" si="7"/>
        <v>0</v>
      </c>
      <c r="P21" s="978">
        <f t="shared" si="3"/>
        <v>0</v>
      </c>
      <c r="Q21" s="1"/>
    </row>
    <row r="22" spans="1:17">
      <c r="A22" s="1960"/>
      <c r="B22" s="1969"/>
      <c r="C22" s="1970" t="s">
        <v>98</v>
      </c>
      <c r="D22" s="1971"/>
      <c r="E22" s="1972"/>
      <c r="F22" s="1967">
        <f t="shared" si="4"/>
        <v>0</v>
      </c>
      <c r="G22" s="978">
        <f t="shared" si="0"/>
        <v>0</v>
      </c>
      <c r="H22" s="1972"/>
      <c r="I22" s="1967">
        <f t="shared" si="5"/>
        <v>0</v>
      </c>
      <c r="J22" s="978">
        <f t="shared" si="1"/>
        <v>0</v>
      </c>
      <c r="K22" s="1972"/>
      <c r="L22" s="1967">
        <f t="shared" si="6"/>
        <v>0</v>
      </c>
      <c r="M22" s="978">
        <f t="shared" si="2"/>
        <v>0</v>
      </c>
      <c r="N22" s="1972"/>
      <c r="O22" s="1967">
        <f t="shared" si="7"/>
        <v>0</v>
      </c>
      <c r="P22" s="978">
        <f t="shared" si="3"/>
        <v>0</v>
      </c>
    </row>
    <row r="23" spans="1:17">
      <c r="A23" s="1960"/>
      <c r="B23" s="1969"/>
      <c r="C23" s="1970" t="s">
        <v>98</v>
      </c>
      <c r="D23" s="1971"/>
      <c r="E23" s="1972"/>
      <c r="F23" s="1967">
        <f t="shared" si="4"/>
        <v>0</v>
      </c>
      <c r="G23" s="978">
        <f t="shared" si="0"/>
        <v>0</v>
      </c>
      <c r="H23" s="1972"/>
      <c r="I23" s="1967">
        <f t="shared" si="5"/>
        <v>0</v>
      </c>
      <c r="J23" s="978">
        <f t="shared" si="1"/>
        <v>0</v>
      </c>
      <c r="K23" s="1972"/>
      <c r="L23" s="1967">
        <f t="shared" si="6"/>
        <v>0</v>
      </c>
      <c r="M23" s="978">
        <f t="shared" si="2"/>
        <v>0</v>
      </c>
      <c r="N23" s="1972"/>
      <c r="O23" s="1967">
        <f t="shared" si="7"/>
        <v>0</v>
      </c>
      <c r="P23" s="978">
        <f t="shared" si="3"/>
        <v>0</v>
      </c>
    </row>
    <row r="24" spans="1:17" ht="41.25" customHeight="1">
      <c r="A24" s="1960"/>
      <c r="B24" s="1969"/>
      <c r="C24" s="1970" t="s">
        <v>98</v>
      </c>
      <c r="D24" s="1971"/>
      <c r="E24" s="1972"/>
      <c r="F24" s="1967">
        <f t="shared" si="4"/>
        <v>0</v>
      </c>
      <c r="G24" s="978">
        <f t="shared" si="0"/>
        <v>0</v>
      </c>
      <c r="H24" s="1972"/>
      <c r="I24" s="1967">
        <f t="shared" si="5"/>
        <v>0</v>
      </c>
      <c r="J24" s="978">
        <f t="shared" si="1"/>
        <v>0</v>
      </c>
      <c r="K24" s="1972"/>
      <c r="L24" s="1967">
        <f t="shared" si="6"/>
        <v>0</v>
      </c>
      <c r="M24" s="978">
        <f t="shared" si="2"/>
        <v>0</v>
      </c>
      <c r="N24" s="1972"/>
      <c r="O24" s="1967">
        <f t="shared" si="7"/>
        <v>0</v>
      </c>
      <c r="P24" s="978">
        <f t="shared" si="3"/>
        <v>0</v>
      </c>
    </row>
    <row r="25" spans="1:17">
      <c r="A25" s="1960"/>
      <c r="B25" s="1969"/>
      <c r="C25" s="1970" t="s">
        <v>98</v>
      </c>
      <c r="D25" s="1971"/>
      <c r="E25" s="1972"/>
      <c r="F25" s="1967">
        <f t="shared" si="4"/>
        <v>0</v>
      </c>
      <c r="G25" s="978">
        <f t="shared" si="0"/>
        <v>0</v>
      </c>
      <c r="H25" s="1972"/>
      <c r="I25" s="1967">
        <f t="shared" si="5"/>
        <v>0</v>
      </c>
      <c r="J25" s="978">
        <f t="shared" si="1"/>
        <v>0</v>
      </c>
      <c r="K25" s="1972"/>
      <c r="L25" s="1967">
        <f t="shared" si="6"/>
        <v>0</v>
      </c>
      <c r="M25" s="978">
        <f t="shared" si="2"/>
        <v>0</v>
      </c>
      <c r="N25" s="1972"/>
      <c r="O25" s="1967">
        <f t="shared" si="7"/>
        <v>0</v>
      </c>
      <c r="P25" s="978">
        <f t="shared" si="3"/>
        <v>0</v>
      </c>
    </row>
    <row r="26" spans="1:17">
      <c r="A26" s="1973"/>
      <c r="B26" s="1974"/>
      <c r="C26" s="1970" t="s">
        <v>98</v>
      </c>
      <c r="D26" s="1971"/>
      <c r="E26" s="1972"/>
      <c r="F26" s="1967">
        <f t="shared" si="4"/>
        <v>0</v>
      </c>
      <c r="G26" s="978">
        <f t="shared" si="0"/>
        <v>0</v>
      </c>
      <c r="H26" s="1972"/>
      <c r="I26" s="1967">
        <f t="shared" si="5"/>
        <v>0</v>
      </c>
      <c r="J26" s="978">
        <f t="shared" si="1"/>
        <v>0</v>
      </c>
      <c r="K26" s="1972"/>
      <c r="L26" s="1967">
        <f t="shared" si="6"/>
        <v>0</v>
      </c>
      <c r="M26" s="978">
        <f t="shared" si="2"/>
        <v>0</v>
      </c>
      <c r="N26" s="1972"/>
      <c r="O26" s="1967">
        <f t="shared" si="7"/>
        <v>0</v>
      </c>
      <c r="P26" s="978">
        <f t="shared" si="3"/>
        <v>0</v>
      </c>
    </row>
    <row r="27" spans="1:17">
      <c r="A27" s="1973"/>
      <c r="B27" s="1974"/>
      <c r="C27" s="1970" t="s">
        <v>98</v>
      </c>
      <c r="D27" s="1971"/>
      <c r="E27" s="1972"/>
      <c r="F27" s="1967">
        <f t="shared" si="4"/>
        <v>0</v>
      </c>
      <c r="G27" s="978">
        <f t="shared" si="0"/>
        <v>0</v>
      </c>
      <c r="H27" s="1972"/>
      <c r="I27" s="1967">
        <f t="shared" si="5"/>
        <v>0</v>
      </c>
      <c r="J27" s="978">
        <f t="shared" si="1"/>
        <v>0</v>
      </c>
      <c r="K27" s="1972"/>
      <c r="L27" s="1967">
        <f t="shared" si="6"/>
        <v>0</v>
      </c>
      <c r="M27" s="978">
        <f t="shared" si="2"/>
        <v>0</v>
      </c>
      <c r="N27" s="1972"/>
      <c r="O27" s="1967">
        <f t="shared" si="7"/>
        <v>0</v>
      </c>
      <c r="P27" s="978">
        <f t="shared" si="3"/>
        <v>0</v>
      </c>
    </row>
    <row r="28" spans="1:17">
      <c r="A28" s="1978"/>
      <c r="B28" s="1979"/>
      <c r="C28" s="1970" t="s">
        <v>98</v>
      </c>
      <c r="D28" s="1971"/>
      <c r="E28" s="1972"/>
      <c r="F28" s="1967">
        <f t="shared" si="4"/>
        <v>0</v>
      </c>
      <c r="G28" s="978">
        <f t="shared" si="0"/>
        <v>0</v>
      </c>
      <c r="H28" s="1972"/>
      <c r="I28" s="1967">
        <f t="shared" si="5"/>
        <v>0</v>
      </c>
      <c r="J28" s="978">
        <f t="shared" si="1"/>
        <v>0</v>
      </c>
      <c r="K28" s="1972"/>
      <c r="L28" s="1967">
        <f t="shared" si="6"/>
        <v>0</v>
      </c>
      <c r="M28" s="978">
        <f t="shared" si="2"/>
        <v>0</v>
      </c>
      <c r="N28" s="1972"/>
      <c r="O28" s="1967">
        <f t="shared" si="7"/>
        <v>0</v>
      </c>
      <c r="P28" s="978">
        <f t="shared" si="3"/>
        <v>0</v>
      </c>
    </row>
    <row r="29" spans="1:17">
      <c r="A29" s="1978"/>
      <c r="B29" s="1979"/>
      <c r="C29" s="1970" t="s">
        <v>98</v>
      </c>
      <c r="D29" s="1971"/>
      <c r="E29" s="1972"/>
      <c r="F29" s="1967">
        <f t="shared" si="4"/>
        <v>0</v>
      </c>
      <c r="G29" s="978">
        <f t="shared" si="0"/>
        <v>0</v>
      </c>
      <c r="H29" s="1972"/>
      <c r="I29" s="1967">
        <f t="shared" si="5"/>
        <v>0</v>
      </c>
      <c r="J29" s="978">
        <f t="shared" si="1"/>
        <v>0</v>
      </c>
      <c r="K29" s="1972"/>
      <c r="L29" s="1967">
        <f t="shared" si="6"/>
        <v>0</v>
      </c>
      <c r="M29" s="978">
        <f t="shared" si="2"/>
        <v>0</v>
      </c>
      <c r="N29" s="1972"/>
      <c r="O29" s="1967">
        <f t="shared" si="7"/>
        <v>0</v>
      </c>
      <c r="P29" s="978">
        <f t="shared" si="3"/>
        <v>0</v>
      </c>
    </row>
    <row r="30" spans="1:17">
      <c r="A30" s="1978"/>
      <c r="B30" s="1979"/>
      <c r="C30" s="1970" t="s">
        <v>98</v>
      </c>
      <c r="D30" s="1971"/>
      <c r="E30" s="1972"/>
      <c r="F30" s="1967">
        <f t="shared" si="4"/>
        <v>0</v>
      </c>
      <c r="G30" s="978">
        <f t="shared" si="0"/>
        <v>0</v>
      </c>
      <c r="H30" s="1972"/>
      <c r="I30" s="1967">
        <f t="shared" si="5"/>
        <v>0</v>
      </c>
      <c r="J30" s="978">
        <f t="shared" si="1"/>
        <v>0</v>
      </c>
      <c r="K30" s="1972"/>
      <c r="L30" s="1967">
        <f t="shared" si="6"/>
        <v>0</v>
      </c>
      <c r="M30" s="978">
        <f t="shared" si="2"/>
        <v>0</v>
      </c>
      <c r="N30" s="1972"/>
      <c r="O30" s="1967">
        <f t="shared" si="7"/>
        <v>0</v>
      </c>
      <c r="P30" s="978">
        <f t="shared" si="3"/>
        <v>0</v>
      </c>
    </row>
    <row r="31" spans="1:17">
      <c r="A31" s="1978"/>
      <c r="B31" s="1979"/>
      <c r="C31" s="1970" t="s">
        <v>98</v>
      </c>
      <c r="D31" s="1971"/>
      <c r="E31" s="1972"/>
      <c r="F31" s="1967">
        <f t="shared" si="4"/>
        <v>0</v>
      </c>
      <c r="G31" s="978">
        <f t="shared" si="0"/>
        <v>0</v>
      </c>
      <c r="H31" s="1972"/>
      <c r="I31" s="1967">
        <f t="shared" si="5"/>
        <v>0</v>
      </c>
      <c r="J31" s="978">
        <f t="shared" si="1"/>
        <v>0</v>
      </c>
      <c r="K31" s="1972"/>
      <c r="L31" s="1967">
        <f t="shared" si="6"/>
        <v>0</v>
      </c>
      <c r="M31" s="978">
        <f t="shared" si="2"/>
        <v>0</v>
      </c>
      <c r="N31" s="1972"/>
      <c r="O31" s="1967">
        <f t="shared" si="7"/>
        <v>0</v>
      </c>
      <c r="P31" s="978">
        <f t="shared" si="3"/>
        <v>0</v>
      </c>
    </row>
    <row r="32" spans="1:17">
      <c r="A32" s="1978"/>
      <c r="B32" s="1980"/>
      <c r="C32" s="1981" t="s">
        <v>98</v>
      </c>
      <c r="D32" s="1971"/>
      <c r="E32" s="1972"/>
      <c r="F32" s="1967">
        <f t="shared" si="4"/>
        <v>0</v>
      </c>
      <c r="G32" s="978">
        <f t="shared" si="0"/>
        <v>0</v>
      </c>
      <c r="H32" s="1972"/>
      <c r="I32" s="1967">
        <f t="shared" si="5"/>
        <v>0</v>
      </c>
      <c r="J32" s="978">
        <f t="shared" si="1"/>
        <v>0</v>
      </c>
      <c r="K32" s="1972"/>
      <c r="L32" s="1967">
        <f t="shared" si="6"/>
        <v>0</v>
      </c>
      <c r="M32" s="978">
        <f t="shared" si="2"/>
        <v>0</v>
      </c>
      <c r="N32" s="1972"/>
      <c r="O32" s="1967">
        <f t="shared" si="7"/>
        <v>0</v>
      </c>
      <c r="P32" s="978">
        <f t="shared" si="3"/>
        <v>0</v>
      </c>
    </row>
    <row r="33" spans="1:17">
      <c r="A33" s="1978"/>
      <c r="B33" s="1979"/>
      <c r="C33" s="1970" t="s">
        <v>98</v>
      </c>
      <c r="D33" s="1982"/>
      <c r="E33" s="1972"/>
      <c r="F33" s="1967">
        <f t="shared" si="4"/>
        <v>0</v>
      </c>
      <c r="G33" s="978">
        <f t="shared" si="0"/>
        <v>0</v>
      </c>
      <c r="H33" s="1972"/>
      <c r="I33" s="1967">
        <f t="shared" si="5"/>
        <v>0</v>
      </c>
      <c r="J33" s="978">
        <f t="shared" si="1"/>
        <v>0</v>
      </c>
      <c r="K33" s="1972"/>
      <c r="L33" s="1967">
        <f t="shared" si="6"/>
        <v>0</v>
      </c>
      <c r="M33" s="978">
        <f t="shared" si="2"/>
        <v>0</v>
      </c>
      <c r="N33" s="1972"/>
      <c r="O33" s="1967">
        <f t="shared" si="7"/>
        <v>0</v>
      </c>
      <c r="P33" s="978">
        <f t="shared" si="3"/>
        <v>0</v>
      </c>
    </row>
    <row r="34" spans="1:17" ht="13.5" thickBot="1">
      <c r="A34" s="1983"/>
      <c r="B34" s="1984" t="s">
        <v>67</v>
      </c>
      <c r="C34" s="1984"/>
      <c r="D34" s="1985"/>
      <c r="E34" s="1986"/>
      <c r="F34" s="1987"/>
      <c r="G34" s="1988">
        <f>SUM(G6:G33)</f>
        <v>0</v>
      </c>
      <c r="H34" s="1986"/>
      <c r="I34" s="1987"/>
      <c r="J34" s="1988">
        <f>SUM(J6:J33)</f>
        <v>0</v>
      </c>
      <c r="K34" s="1986"/>
      <c r="L34" s="1987"/>
      <c r="M34" s="1988">
        <f>SUM(M6:M33)</f>
        <v>0</v>
      </c>
      <c r="N34" s="1986"/>
      <c r="O34" s="1987"/>
      <c r="P34" s="1988">
        <f>SUM(P6:P33)</f>
        <v>0</v>
      </c>
    </row>
    <row r="35" spans="1:17">
      <c r="B35" s="1989" t="s">
        <v>26</v>
      </c>
      <c r="C35" s="1990"/>
      <c r="D35" s="1990"/>
      <c r="E35" s="1991"/>
      <c r="F35" s="1992"/>
      <c r="G35" s="1991"/>
      <c r="H35" s="1992"/>
      <c r="I35" s="1992"/>
      <c r="J35" s="1991"/>
      <c r="K35" s="1992"/>
      <c r="L35" s="1992"/>
      <c r="M35" s="1991"/>
      <c r="N35" s="1992"/>
      <c r="O35" s="1992"/>
      <c r="P35" s="1991"/>
    </row>
    <row r="37" spans="1:17" ht="15.75">
      <c r="A37" s="2228" t="s">
        <v>1313</v>
      </c>
      <c r="B37" s="2229"/>
      <c r="C37" s="2229"/>
      <c r="D37" s="2229"/>
      <c r="E37" s="2230"/>
      <c r="F37" s="2231" t="s">
        <v>1314</v>
      </c>
      <c r="G37" s="2232"/>
      <c r="H37" s="2233"/>
      <c r="I37" s="2231" t="s">
        <v>1315</v>
      </c>
      <c r="J37" s="2232"/>
      <c r="K37" s="2233"/>
      <c r="L37" s="2231" t="s">
        <v>1316</v>
      </c>
      <c r="M37" s="2232"/>
      <c r="N37" s="2233"/>
      <c r="O37" s="2231" t="s">
        <v>824</v>
      </c>
      <c r="P37" s="2232"/>
      <c r="Q37" s="2233"/>
    </row>
    <row r="38" spans="1:17" ht="15.75" customHeight="1">
      <c r="A38" s="2228" t="s">
        <v>1317</v>
      </c>
      <c r="B38" s="2229"/>
      <c r="C38" s="2229"/>
      <c r="D38" s="2229"/>
      <c r="E38" s="2230"/>
      <c r="F38" s="2231" t="s">
        <v>1318</v>
      </c>
      <c r="G38" s="2232"/>
      <c r="H38" s="2233"/>
      <c r="I38" s="2231" t="s">
        <v>1318</v>
      </c>
      <c r="J38" s="2232"/>
      <c r="K38" s="2233"/>
      <c r="L38" s="2234" t="s">
        <v>1319</v>
      </c>
      <c r="M38" s="2235"/>
      <c r="N38" s="2236"/>
      <c r="O38" s="2234" t="s">
        <v>1320</v>
      </c>
      <c r="P38" s="2235"/>
      <c r="Q38" s="2236"/>
    </row>
    <row r="39" spans="1:17" ht="15.75">
      <c r="A39" s="2237" t="s">
        <v>1321</v>
      </c>
      <c r="B39" s="2238"/>
      <c r="C39" s="2238"/>
      <c r="D39" s="2238"/>
      <c r="E39" s="2239"/>
      <c r="F39" s="2243" t="s">
        <v>481</v>
      </c>
      <c r="G39" s="2244"/>
      <c r="H39" s="2245"/>
      <c r="I39" s="2243" t="s">
        <v>1334</v>
      </c>
      <c r="J39" s="2244"/>
      <c r="K39" s="2245"/>
      <c r="L39" s="2243" t="s">
        <v>1335</v>
      </c>
      <c r="M39" s="2244"/>
      <c r="N39" s="2245"/>
      <c r="O39" s="2264">
        <v>1750</v>
      </c>
      <c r="P39" s="2265"/>
      <c r="Q39" s="2266"/>
    </row>
    <row r="40" spans="1:17" ht="15.75">
      <c r="A40" s="2237" t="s">
        <v>1325</v>
      </c>
      <c r="B40" s="2238"/>
      <c r="C40" s="2238"/>
      <c r="D40" s="2238"/>
      <c r="E40" s="2239"/>
      <c r="F40" s="2240">
        <v>0.49</v>
      </c>
      <c r="G40" s="2241"/>
      <c r="H40" s="2242"/>
      <c r="I40" s="2240">
        <v>0.29530000000000001</v>
      </c>
      <c r="J40" s="2241"/>
      <c r="K40" s="2242"/>
      <c r="L40" s="2240">
        <v>0.21590000000000001</v>
      </c>
      <c r="M40" s="2241"/>
      <c r="N40" s="2242"/>
      <c r="O40" s="2240">
        <v>0.1429</v>
      </c>
      <c r="P40" s="2241"/>
      <c r="Q40" s="2242"/>
    </row>
    <row r="41" spans="1:17" ht="15.75">
      <c r="A41" s="2237" t="s">
        <v>1326</v>
      </c>
      <c r="B41" s="2238"/>
      <c r="C41" s="2238"/>
      <c r="D41" s="2238"/>
      <c r="E41" s="2239"/>
      <c r="F41" s="2240">
        <v>0.42599999999999999</v>
      </c>
      <c r="G41" s="2241"/>
      <c r="H41" s="2242"/>
      <c r="I41" s="2240">
        <v>0.245</v>
      </c>
      <c r="J41" s="2241"/>
      <c r="K41" s="2242"/>
      <c r="L41" s="2240">
        <v>0.16800000000000001</v>
      </c>
      <c r="M41" s="2241"/>
      <c r="N41" s="2242"/>
      <c r="O41" s="2240">
        <v>0.114</v>
      </c>
      <c r="P41" s="2241"/>
      <c r="Q41" s="2242"/>
    </row>
    <row r="42" spans="1:17" ht="15.75">
      <c r="A42" s="2267" t="s">
        <v>825</v>
      </c>
      <c r="B42" s="2268"/>
      <c r="C42" s="2268"/>
      <c r="D42" s="2268"/>
      <c r="E42" s="2269"/>
      <c r="F42" s="2249">
        <v>1.2</v>
      </c>
      <c r="G42" s="2250"/>
      <c r="H42" s="2251"/>
      <c r="I42" s="2249">
        <v>1.3</v>
      </c>
      <c r="J42" s="2250"/>
      <c r="K42" s="2251"/>
      <c r="L42" s="2249">
        <v>1.2</v>
      </c>
      <c r="M42" s="2250"/>
      <c r="N42" s="2251"/>
      <c r="O42" s="2249">
        <v>1.2</v>
      </c>
      <c r="P42" s="2250"/>
      <c r="Q42" s="2251"/>
    </row>
    <row r="43" spans="1:17" ht="15.75">
      <c r="A43" s="2252" t="s">
        <v>1327</v>
      </c>
      <c r="B43" s="2253"/>
      <c r="C43" s="2253"/>
      <c r="D43" s="2253"/>
      <c r="E43" s="2254"/>
      <c r="F43" s="2270">
        <f>C47</f>
        <v>0</v>
      </c>
      <c r="G43" s="2271"/>
      <c r="H43" s="2272"/>
      <c r="I43" s="2270">
        <v>10</v>
      </c>
      <c r="J43" s="2271"/>
      <c r="K43" s="2272"/>
      <c r="L43" s="2270">
        <v>20</v>
      </c>
      <c r="M43" s="2271"/>
      <c r="N43" s="2272"/>
      <c r="O43" s="2270">
        <v>60</v>
      </c>
      <c r="P43" s="2271"/>
      <c r="Q43" s="2272"/>
    </row>
    <row r="44" spans="1:17" ht="15.75">
      <c r="A44" s="2252" t="s">
        <v>1328</v>
      </c>
      <c r="B44" s="2253"/>
      <c r="C44" s="2253"/>
      <c r="D44" s="2253"/>
      <c r="E44" s="2254"/>
      <c r="F44" s="2255">
        <f>0.785*(F40)*(F40)*F39*F42</f>
        <v>6.7852259999999998</v>
      </c>
      <c r="G44" s="2256"/>
      <c r="H44" s="2257"/>
      <c r="I44" s="2255">
        <f>(0.785*(((F41-2*0.01))^2)*F39)+(0.785*((I40)^2)*(I39-F39)*I42)</f>
        <v>23.4596290259</v>
      </c>
      <c r="J44" s="2256"/>
      <c r="K44" s="2257"/>
      <c r="L44" s="2255">
        <f>(0.785*(((I41-2*0.0095)^2)*I39)+(0.785*((L40)^2)*(L39-I39)*L42))</f>
        <v>67.105712126000014</v>
      </c>
      <c r="M44" s="2256"/>
      <c r="N44" s="2257"/>
      <c r="O44" s="2255">
        <f>(0.785*(((L41-2*0.01003)^2)*L39)+(0.785*((O40)^2)*(O39-L39)*O42))</f>
        <v>30.477292144300005</v>
      </c>
      <c r="P44" s="2256"/>
      <c r="Q44" s="2257"/>
    </row>
    <row r="45" spans="1:17" ht="15.75">
      <c r="A45" s="2252" t="s">
        <v>1329</v>
      </c>
      <c r="B45" s="2253"/>
      <c r="C45" s="2253"/>
      <c r="D45" s="2253"/>
      <c r="E45" s="2254"/>
      <c r="F45" s="2255">
        <f>F39*(F41-0.01-0.01)^2*0.785</f>
        <v>3.8818877999999994</v>
      </c>
      <c r="G45" s="2256"/>
      <c r="H45" s="2257"/>
      <c r="I45" s="2255">
        <f>I39*(I41-0.0095-0.0095)^2*0.785</f>
        <v>10.023664999999998</v>
      </c>
      <c r="J45" s="2256"/>
      <c r="K45" s="2257"/>
      <c r="L45" s="2255">
        <f>L39*(0.2445-0.0095-0.0095)^2*0.785</f>
        <v>61.872041687499987</v>
      </c>
      <c r="M45" s="2256"/>
      <c r="N45" s="2257"/>
      <c r="O45" s="2255">
        <f>O39*(0.1778-0.00919-0.00919)^2*0.785</f>
        <v>34.913494129500002</v>
      </c>
      <c r="P45" s="2256"/>
      <c r="Q45" s="2257"/>
    </row>
    <row r="46" spans="1:17" ht="15.75">
      <c r="A46" s="2252" t="s">
        <v>1330</v>
      </c>
      <c r="B46" s="2253"/>
      <c r="C46" s="2253"/>
      <c r="D46" s="2253"/>
      <c r="E46" s="2254"/>
      <c r="F46" s="2255">
        <f>F44*0.5</f>
        <v>3.3926129999999999</v>
      </c>
      <c r="G46" s="2256"/>
      <c r="H46" s="2257"/>
      <c r="I46" s="2255">
        <f>I40*I40*I42*0.785*(I39-F39)*0.5</f>
        <v>9.7888706129500012</v>
      </c>
      <c r="J46" s="2256"/>
      <c r="K46" s="2257"/>
      <c r="L46" s="2255">
        <f>L40*L40*L42*0.785*(L39-I39)*0.3</f>
        <v>17.124614137800002</v>
      </c>
      <c r="M46" s="2256"/>
      <c r="N46" s="2257"/>
      <c r="O46" s="2255">
        <f>O40*O40*O42*0.785*(O39-L39)*0.2</f>
        <v>0.76944104880000008</v>
      </c>
      <c r="P46" s="2256"/>
      <c r="Q46" s="2257"/>
    </row>
    <row r="47" spans="1:17" ht="15.75">
      <c r="A47" s="2252" t="s">
        <v>1331</v>
      </c>
      <c r="B47" s="2253"/>
      <c r="C47" s="2253"/>
      <c r="D47" s="2253"/>
      <c r="E47" s="2254"/>
      <c r="F47" s="2255">
        <f>F44+F45+F46</f>
        <v>14.0597268</v>
      </c>
      <c r="G47" s="2256"/>
      <c r="H47" s="2257"/>
      <c r="I47" s="2255">
        <f>I44+I45+I46</f>
        <v>43.272164638849993</v>
      </c>
      <c r="J47" s="2256"/>
      <c r="K47" s="2257"/>
      <c r="L47" s="2255">
        <f>L44+L45+L46</f>
        <v>146.10236795129998</v>
      </c>
      <c r="M47" s="2256"/>
      <c r="N47" s="2257"/>
      <c r="O47" s="2255">
        <f>O44+O45+O46</f>
        <v>66.160227322600008</v>
      </c>
      <c r="P47" s="2256"/>
      <c r="Q47" s="2257"/>
    </row>
    <row r="48" spans="1:17" ht="15.75" customHeight="1">
      <c r="A48" s="2261" t="s">
        <v>1331</v>
      </c>
      <c r="B48" s="2262"/>
      <c r="C48" s="2262"/>
      <c r="D48" s="2262"/>
      <c r="E48" s="2263"/>
      <c r="F48" s="2255">
        <f>20+40</f>
        <v>60</v>
      </c>
      <c r="G48" s="2256"/>
      <c r="H48" s="2257"/>
      <c r="I48" s="2255">
        <f>I47-I43+60</f>
        <v>93.272164638850001</v>
      </c>
      <c r="J48" s="2256"/>
      <c r="K48" s="2257"/>
      <c r="L48" s="2255">
        <f>L47-L43+60</f>
        <v>186.10236795129998</v>
      </c>
      <c r="M48" s="2256"/>
      <c r="N48" s="2257"/>
      <c r="O48" s="2255">
        <f>O47-O43+60</f>
        <v>66.160227322600008</v>
      </c>
      <c r="P48" s="2256"/>
      <c r="Q48" s="2257"/>
    </row>
    <row r="53" spans="1:17" ht="13.5">
      <c r="B53" s="1993" t="s">
        <v>1332</v>
      </c>
    </row>
    <row r="54" spans="1:17" ht="13.5">
      <c r="B54" s="1993" t="s">
        <v>1333</v>
      </c>
    </row>
    <row r="58" spans="1:17">
      <c r="A58" s="1994"/>
      <c r="B58" s="1994"/>
      <c r="C58" s="1994"/>
      <c r="D58" s="1995"/>
      <c r="E58" s="1995"/>
      <c r="F58" s="1995"/>
      <c r="G58" s="1994"/>
      <c r="H58" s="1995"/>
      <c r="I58" s="1995"/>
      <c r="J58" s="1995"/>
      <c r="K58" s="1994"/>
      <c r="L58" s="1994"/>
      <c r="M58" s="1994"/>
      <c r="N58" s="1994"/>
      <c r="O58" s="1994"/>
      <c r="P58" s="1996" t="e">
        <f>'[13]Расчет ННБ'!G41</f>
        <v>#REF!</v>
      </c>
      <c r="Q58" s="1994"/>
    </row>
    <row r="59" spans="1:17">
      <c r="H59" s="1" t="s">
        <v>124</v>
      </c>
      <c r="P59" s="1" t="s">
        <v>127</v>
      </c>
    </row>
  </sheetData>
  <mergeCells count="69">
    <mergeCell ref="A48:E48"/>
    <mergeCell ref="F48:H48"/>
    <mergeCell ref="I48:K48"/>
    <mergeCell ref="L48:N48"/>
    <mergeCell ref="O48:Q48"/>
    <mergeCell ref="A47:E47"/>
    <mergeCell ref="F47:H47"/>
    <mergeCell ref="I47:K47"/>
    <mergeCell ref="L47:N47"/>
    <mergeCell ref="O47:Q47"/>
    <mergeCell ref="A46:E46"/>
    <mergeCell ref="F46:H46"/>
    <mergeCell ref="I46:K46"/>
    <mergeCell ref="L46:N46"/>
    <mergeCell ref="O46:Q46"/>
    <mergeCell ref="A45:E45"/>
    <mergeCell ref="F45:H45"/>
    <mergeCell ref="I45:K45"/>
    <mergeCell ref="L45:N45"/>
    <mergeCell ref="O45:Q45"/>
    <mergeCell ref="A44:E44"/>
    <mergeCell ref="F44:H44"/>
    <mergeCell ref="I44:K44"/>
    <mergeCell ref="L44:N44"/>
    <mergeCell ref="O44:Q44"/>
    <mergeCell ref="A43:E43"/>
    <mergeCell ref="F43:H43"/>
    <mergeCell ref="I43:K43"/>
    <mergeCell ref="L43:N43"/>
    <mergeCell ref="O43:Q43"/>
    <mergeCell ref="A42:E42"/>
    <mergeCell ref="F42:H42"/>
    <mergeCell ref="I42:K42"/>
    <mergeCell ref="L42:N42"/>
    <mergeCell ref="O42:Q42"/>
    <mergeCell ref="A41:E41"/>
    <mergeCell ref="F41:H41"/>
    <mergeCell ref="I41:K41"/>
    <mergeCell ref="L41:N41"/>
    <mergeCell ref="O41:Q41"/>
    <mergeCell ref="A40:E40"/>
    <mergeCell ref="F40:H40"/>
    <mergeCell ref="I40:K40"/>
    <mergeCell ref="L40:N40"/>
    <mergeCell ref="O40:Q40"/>
    <mergeCell ref="A39:E39"/>
    <mergeCell ref="F39:H39"/>
    <mergeCell ref="I39:K39"/>
    <mergeCell ref="L39:N39"/>
    <mergeCell ref="O39:Q39"/>
    <mergeCell ref="A38:E38"/>
    <mergeCell ref="F38:H38"/>
    <mergeCell ref="I38:K38"/>
    <mergeCell ref="L38:N38"/>
    <mergeCell ref="O38:Q38"/>
    <mergeCell ref="A37:E37"/>
    <mergeCell ref="F37:H37"/>
    <mergeCell ref="I37:K37"/>
    <mergeCell ref="L37:N37"/>
    <mergeCell ref="O37:Q37"/>
    <mergeCell ref="A1:A4"/>
    <mergeCell ref="B1:B4"/>
    <mergeCell ref="C1:C4"/>
    <mergeCell ref="D1:D4"/>
    <mergeCell ref="E1:P1"/>
    <mergeCell ref="E2:G2"/>
    <mergeCell ref="H2:J2"/>
    <mergeCell ref="K2:M2"/>
    <mergeCell ref="N2:P2"/>
  </mergeCells>
  <pageMargins left="0.7" right="0.7" top="0.75" bottom="0.75" header="0.3" footer="0.3"/>
  <pageSetup paperSize="9" scale="7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"/>
  <sheetViews>
    <sheetView zoomScaleNormal="100" workbookViewId="0">
      <selection activeCell="D27" sqref="D27"/>
    </sheetView>
  </sheetViews>
  <sheetFormatPr defaultColWidth="9.140625" defaultRowHeight="15"/>
  <cols>
    <col min="1" max="1" width="4.85546875" style="77" customWidth="1"/>
    <col min="2" max="2" width="26.28515625" style="77" customWidth="1"/>
    <col min="3" max="3" width="12" style="77" customWidth="1"/>
    <col min="4" max="4" width="13.42578125" style="77" customWidth="1"/>
    <col min="5" max="5" width="15.140625" style="77" customWidth="1"/>
    <col min="6" max="6" width="13.85546875" style="77" customWidth="1"/>
    <col min="7" max="7" width="15" style="77" customWidth="1"/>
    <col min="8" max="8" width="15.140625" style="77" customWidth="1"/>
    <col min="9" max="10" width="0" style="77" hidden="1" customWidth="1"/>
    <col min="11" max="11" width="9.140625" style="77"/>
    <col min="12" max="13" width="0" style="77" hidden="1" customWidth="1"/>
    <col min="14" max="16384" width="9.140625" style="77"/>
  </cols>
  <sheetData>
    <row r="1" spans="1:9">
      <c r="E1" s="2283" t="s">
        <v>361</v>
      </c>
      <c r="F1" s="2283"/>
      <c r="G1" s="2283"/>
      <c r="H1" s="2283"/>
      <c r="I1" s="120"/>
    </row>
    <row r="2" spans="1:9">
      <c r="H2" s="451"/>
    </row>
    <row r="3" spans="1:9">
      <c r="A3" s="2284" t="s">
        <v>365</v>
      </c>
      <c r="B3" s="2284"/>
      <c r="C3" s="2284"/>
      <c r="D3" s="2284"/>
      <c r="E3" s="2284"/>
      <c r="F3" s="2284"/>
      <c r="G3" s="2284"/>
      <c r="H3" s="2284"/>
    </row>
    <row r="4" spans="1:9">
      <c r="A4" s="2284" t="s">
        <v>205</v>
      </c>
      <c r="B4" s="2284"/>
      <c r="C4" s="2284"/>
      <c r="D4" s="2284"/>
      <c r="E4" s="2284"/>
      <c r="F4" s="2284"/>
      <c r="G4" s="2284"/>
      <c r="H4" s="2284"/>
    </row>
    <row r="5" spans="1:9">
      <c r="A5" s="26"/>
      <c r="B5" s="26"/>
      <c r="C5" s="26"/>
      <c r="D5" s="26"/>
      <c r="E5" s="26"/>
      <c r="F5" s="26"/>
      <c r="G5" s="26"/>
      <c r="H5" s="26"/>
    </row>
    <row r="6" spans="1:9" ht="15.75" thickBot="1">
      <c r="A6" s="26"/>
      <c r="B6" s="26"/>
      <c r="C6" s="26"/>
      <c r="D6" s="26"/>
      <c r="E6" s="26"/>
      <c r="F6" s="26"/>
      <c r="G6" s="26"/>
      <c r="H6" s="177" t="s">
        <v>176</v>
      </c>
    </row>
    <row r="7" spans="1:9" ht="60">
      <c r="A7" s="178" t="s">
        <v>14</v>
      </c>
      <c r="B7" s="179" t="s">
        <v>206</v>
      </c>
      <c r="C7" s="91" t="s">
        <v>207</v>
      </c>
      <c r="D7" s="91" t="s">
        <v>208</v>
      </c>
      <c r="E7" s="91" t="s">
        <v>209</v>
      </c>
      <c r="F7" s="91" t="s">
        <v>210</v>
      </c>
      <c r="G7" s="91" t="s">
        <v>211</v>
      </c>
      <c r="H7" s="92" t="s">
        <v>33</v>
      </c>
    </row>
    <row r="8" spans="1:9">
      <c r="A8" s="79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1">
        <v>8</v>
      </c>
    </row>
    <row r="9" spans="1:9">
      <c r="A9" s="67" t="s">
        <v>456</v>
      </c>
      <c r="B9" s="68"/>
      <c r="C9" s="932"/>
      <c r="D9" s="64"/>
      <c r="E9" s="933"/>
      <c r="F9" s="64"/>
      <c r="G9" s="990"/>
      <c r="H9" s="272">
        <f>G9*F9</f>
        <v>0</v>
      </c>
    </row>
    <row r="10" spans="1:9">
      <c r="A10" s="67" t="s">
        <v>405</v>
      </c>
      <c r="B10" s="68"/>
      <c r="C10" s="68"/>
      <c r="D10" s="64"/>
      <c r="E10" s="65"/>
      <c r="F10" s="64"/>
      <c r="G10" s="295"/>
      <c r="H10" s="272">
        <f>G10*F10</f>
        <v>0</v>
      </c>
    </row>
    <row r="11" spans="1:9">
      <c r="A11" s="67" t="s">
        <v>406</v>
      </c>
      <c r="B11" s="68"/>
      <c r="C11" s="68"/>
      <c r="D11" s="1767"/>
      <c r="E11" s="65"/>
      <c r="F11" s="1767"/>
      <c r="G11" s="295"/>
      <c r="H11" s="272">
        <f>G11*F11</f>
        <v>0</v>
      </c>
    </row>
    <row r="12" spans="1:9">
      <c r="A12" s="83"/>
      <c r="B12" s="69" t="s">
        <v>67</v>
      </c>
      <c r="C12" s="68"/>
      <c r="D12" s="64"/>
      <c r="E12" s="65"/>
      <c r="F12" s="65"/>
      <c r="G12" s="65"/>
      <c r="H12" s="272">
        <f>SUM(H9:H11)</f>
        <v>0</v>
      </c>
    </row>
    <row r="13" spans="1:9">
      <c r="A13" s="89"/>
      <c r="B13" s="122" t="s">
        <v>196</v>
      </c>
      <c r="C13" s="69"/>
      <c r="D13" s="65"/>
      <c r="E13" s="65"/>
      <c r="F13" s="65"/>
      <c r="G13" s="65"/>
      <c r="H13" s="272">
        <f>ROUND(H12/30.4,2)</f>
        <v>0</v>
      </c>
    </row>
    <row r="14" spans="1:9" ht="15.75" thickBot="1">
      <c r="A14" s="181"/>
      <c r="B14" s="182" t="s">
        <v>197</v>
      </c>
      <c r="C14" s="377" t="s">
        <v>62</v>
      </c>
      <c r="D14" s="338">
        <f>'№ 8.1.4 энергозатраты'!D12</f>
        <v>0</v>
      </c>
      <c r="E14" s="183"/>
      <c r="F14" s="183"/>
      <c r="G14" s="183"/>
      <c r="H14" s="335">
        <f>ROUND(H13*D14,2)</f>
        <v>0</v>
      </c>
    </row>
    <row r="22" spans="1:18" ht="49.5" customHeight="1">
      <c r="A22" s="2490"/>
      <c r="B22" s="2490"/>
      <c r="C22" s="1953"/>
      <c r="D22" s="2489"/>
      <c r="E22" s="2489"/>
      <c r="F22" s="1953"/>
      <c r="G22" s="2490"/>
      <c r="H22" s="2490"/>
      <c r="I22" s="2327"/>
      <c r="J22" s="2327"/>
      <c r="K22" s="108"/>
      <c r="L22" s="2327"/>
      <c r="M22" s="2327"/>
    </row>
    <row r="23" spans="1:18">
      <c r="A23" s="2473" t="s">
        <v>126</v>
      </c>
      <c r="B23" s="2473"/>
      <c r="D23" s="2480" t="s">
        <v>124</v>
      </c>
      <c r="E23" s="2480"/>
      <c r="G23" s="2462" t="s">
        <v>127</v>
      </c>
      <c r="H23" s="2462"/>
      <c r="I23" s="2327"/>
      <c r="J23" s="2327"/>
      <c r="K23" s="108"/>
      <c r="L23" s="2462"/>
      <c r="M23" s="2462"/>
    </row>
    <row r="24" spans="1:18" s="141" customFormat="1">
      <c r="I24" s="142"/>
      <c r="J24" s="142"/>
      <c r="K24" s="142"/>
      <c r="L24" s="142"/>
      <c r="M24" s="142"/>
      <c r="N24" s="142"/>
      <c r="O24" s="142"/>
      <c r="P24" s="142"/>
      <c r="Q24" s="142"/>
      <c r="R24" s="142"/>
    </row>
  </sheetData>
  <mergeCells count="13">
    <mergeCell ref="G23:H23"/>
    <mergeCell ref="E1:H1"/>
    <mergeCell ref="A3:H3"/>
    <mergeCell ref="L22:M22"/>
    <mergeCell ref="I23:J23"/>
    <mergeCell ref="L23:M23"/>
    <mergeCell ref="A4:H4"/>
    <mergeCell ref="D22:E22"/>
    <mergeCell ref="D23:E23"/>
    <mergeCell ref="I22:J22"/>
    <mergeCell ref="A22:B22"/>
    <mergeCell ref="A23:B23"/>
    <mergeCell ref="G22:H22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M14"/>
  <sheetViews>
    <sheetView zoomScaleNormal="100" workbookViewId="0">
      <selection activeCell="F10" sqref="F10"/>
    </sheetView>
  </sheetViews>
  <sheetFormatPr defaultRowHeight="15"/>
  <cols>
    <col min="1" max="1" width="5.42578125" style="188" customWidth="1"/>
    <col min="2" max="2" width="44.85546875" style="617" bestFit="1" customWidth="1"/>
    <col min="3" max="3" width="10.5703125" style="617" customWidth="1"/>
    <col min="4" max="4" width="12.7109375" style="617" customWidth="1"/>
    <col min="5" max="5" width="12.42578125" style="188" customWidth="1"/>
    <col min="6" max="6" width="14.7109375" style="188" customWidth="1"/>
    <col min="7" max="8" width="0" style="188" hidden="1" customWidth="1"/>
    <col min="9" max="9" width="0.140625" style="188" hidden="1" customWidth="1"/>
    <col min="10" max="11" width="0" style="188" hidden="1" customWidth="1"/>
    <col min="12" max="12" width="10.140625" style="188" bestFit="1" customWidth="1"/>
    <col min="13" max="256" width="9.140625" style="188"/>
    <col min="257" max="257" width="5.42578125" style="188" customWidth="1"/>
    <col min="258" max="258" width="44.85546875" style="188" bestFit="1" customWidth="1"/>
    <col min="259" max="259" width="10.5703125" style="188" customWidth="1"/>
    <col min="260" max="260" width="12.7109375" style="188" customWidth="1"/>
    <col min="261" max="261" width="12.42578125" style="188" customWidth="1"/>
    <col min="262" max="262" width="14.7109375" style="188" customWidth="1"/>
    <col min="263" max="267" width="0" style="188" hidden="1" customWidth="1"/>
    <col min="268" max="268" width="10.140625" style="188" bestFit="1" customWidth="1"/>
    <col min="269" max="512" width="9.140625" style="188"/>
    <col min="513" max="513" width="5.42578125" style="188" customWidth="1"/>
    <col min="514" max="514" width="44.85546875" style="188" bestFit="1" customWidth="1"/>
    <col min="515" max="515" width="10.5703125" style="188" customWidth="1"/>
    <col min="516" max="516" width="12.7109375" style="188" customWidth="1"/>
    <col min="517" max="517" width="12.42578125" style="188" customWidth="1"/>
    <col min="518" max="518" width="14.7109375" style="188" customWidth="1"/>
    <col min="519" max="523" width="0" style="188" hidden="1" customWidth="1"/>
    <col min="524" max="524" width="10.140625" style="188" bestFit="1" customWidth="1"/>
    <col min="525" max="768" width="9.140625" style="188"/>
    <col min="769" max="769" width="5.42578125" style="188" customWidth="1"/>
    <col min="770" max="770" width="44.85546875" style="188" bestFit="1" customWidth="1"/>
    <col min="771" max="771" width="10.5703125" style="188" customWidth="1"/>
    <col min="772" max="772" width="12.7109375" style="188" customWidth="1"/>
    <col min="773" max="773" width="12.42578125" style="188" customWidth="1"/>
    <col min="774" max="774" width="14.7109375" style="188" customWidth="1"/>
    <col min="775" max="779" width="0" style="188" hidden="1" customWidth="1"/>
    <col min="780" max="780" width="10.140625" style="188" bestFit="1" customWidth="1"/>
    <col min="781" max="1024" width="9.140625" style="188"/>
    <col min="1025" max="1025" width="5.42578125" style="188" customWidth="1"/>
    <col min="1026" max="1026" width="44.85546875" style="188" bestFit="1" customWidth="1"/>
    <col min="1027" max="1027" width="10.5703125" style="188" customWidth="1"/>
    <col min="1028" max="1028" width="12.7109375" style="188" customWidth="1"/>
    <col min="1029" max="1029" width="12.42578125" style="188" customWidth="1"/>
    <col min="1030" max="1030" width="14.7109375" style="188" customWidth="1"/>
    <col min="1031" max="1035" width="0" style="188" hidden="1" customWidth="1"/>
    <col min="1036" max="1036" width="10.140625" style="188" bestFit="1" customWidth="1"/>
    <col min="1037" max="1280" width="9.140625" style="188"/>
    <col min="1281" max="1281" width="5.42578125" style="188" customWidth="1"/>
    <col min="1282" max="1282" width="44.85546875" style="188" bestFit="1" customWidth="1"/>
    <col min="1283" max="1283" width="10.5703125" style="188" customWidth="1"/>
    <col min="1284" max="1284" width="12.7109375" style="188" customWidth="1"/>
    <col min="1285" max="1285" width="12.42578125" style="188" customWidth="1"/>
    <col min="1286" max="1286" width="14.7109375" style="188" customWidth="1"/>
    <col min="1287" max="1291" width="0" style="188" hidden="1" customWidth="1"/>
    <col min="1292" max="1292" width="10.140625" style="188" bestFit="1" customWidth="1"/>
    <col min="1293" max="1536" width="9.140625" style="188"/>
    <col min="1537" max="1537" width="5.42578125" style="188" customWidth="1"/>
    <col min="1538" max="1538" width="44.85546875" style="188" bestFit="1" customWidth="1"/>
    <col min="1539" max="1539" width="10.5703125" style="188" customWidth="1"/>
    <col min="1540" max="1540" width="12.7109375" style="188" customWidth="1"/>
    <col min="1541" max="1541" width="12.42578125" style="188" customWidth="1"/>
    <col min="1542" max="1542" width="14.7109375" style="188" customWidth="1"/>
    <col min="1543" max="1547" width="0" style="188" hidden="1" customWidth="1"/>
    <col min="1548" max="1548" width="10.140625" style="188" bestFit="1" customWidth="1"/>
    <col min="1549" max="1792" width="9.140625" style="188"/>
    <col min="1793" max="1793" width="5.42578125" style="188" customWidth="1"/>
    <col min="1794" max="1794" width="44.85546875" style="188" bestFit="1" customWidth="1"/>
    <col min="1795" max="1795" width="10.5703125" style="188" customWidth="1"/>
    <col min="1796" max="1796" width="12.7109375" style="188" customWidth="1"/>
    <col min="1797" max="1797" width="12.42578125" style="188" customWidth="1"/>
    <col min="1798" max="1798" width="14.7109375" style="188" customWidth="1"/>
    <col min="1799" max="1803" width="0" style="188" hidden="1" customWidth="1"/>
    <col min="1804" max="1804" width="10.140625" style="188" bestFit="1" customWidth="1"/>
    <col min="1805" max="2048" width="9.140625" style="188"/>
    <col min="2049" max="2049" width="5.42578125" style="188" customWidth="1"/>
    <col min="2050" max="2050" width="44.85546875" style="188" bestFit="1" customWidth="1"/>
    <col min="2051" max="2051" width="10.5703125" style="188" customWidth="1"/>
    <col min="2052" max="2052" width="12.7109375" style="188" customWidth="1"/>
    <col min="2053" max="2053" width="12.42578125" style="188" customWidth="1"/>
    <col min="2054" max="2054" width="14.7109375" style="188" customWidth="1"/>
    <col min="2055" max="2059" width="0" style="188" hidden="1" customWidth="1"/>
    <col min="2060" max="2060" width="10.140625" style="188" bestFit="1" customWidth="1"/>
    <col min="2061" max="2304" width="9.140625" style="188"/>
    <col min="2305" max="2305" width="5.42578125" style="188" customWidth="1"/>
    <col min="2306" max="2306" width="44.85546875" style="188" bestFit="1" customWidth="1"/>
    <col min="2307" max="2307" width="10.5703125" style="188" customWidth="1"/>
    <col min="2308" max="2308" width="12.7109375" style="188" customWidth="1"/>
    <col min="2309" max="2309" width="12.42578125" style="188" customWidth="1"/>
    <col min="2310" max="2310" width="14.7109375" style="188" customWidth="1"/>
    <col min="2311" max="2315" width="0" style="188" hidden="1" customWidth="1"/>
    <col min="2316" max="2316" width="10.140625" style="188" bestFit="1" customWidth="1"/>
    <col min="2317" max="2560" width="9.140625" style="188"/>
    <col min="2561" max="2561" width="5.42578125" style="188" customWidth="1"/>
    <col min="2562" max="2562" width="44.85546875" style="188" bestFit="1" customWidth="1"/>
    <col min="2563" max="2563" width="10.5703125" style="188" customWidth="1"/>
    <col min="2564" max="2564" width="12.7109375" style="188" customWidth="1"/>
    <col min="2565" max="2565" width="12.42578125" style="188" customWidth="1"/>
    <col min="2566" max="2566" width="14.7109375" style="188" customWidth="1"/>
    <col min="2567" max="2571" width="0" style="188" hidden="1" customWidth="1"/>
    <col min="2572" max="2572" width="10.140625" style="188" bestFit="1" customWidth="1"/>
    <col min="2573" max="2816" width="9.140625" style="188"/>
    <col min="2817" max="2817" width="5.42578125" style="188" customWidth="1"/>
    <col min="2818" max="2818" width="44.85546875" style="188" bestFit="1" customWidth="1"/>
    <col min="2819" max="2819" width="10.5703125" style="188" customWidth="1"/>
    <col min="2820" max="2820" width="12.7109375" style="188" customWidth="1"/>
    <col min="2821" max="2821" width="12.42578125" style="188" customWidth="1"/>
    <col min="2822" max="2822" width="14.7109375" style="188" customWidth="1"/>
    <col min="2823" max="2827" width="0" style="188" hidden="1" customWidth="1"/>
    <col min="2828" max="2828" width="10.140625" style="188" bestFit="1" customWidth="1"/>
    <col min="2829" max="3072" width="9.140625" style="188"/>
    <col min="3073" max="3073" width="5.42578125" style="188" customWidth="1"/>
    <col min="3074" max="3074" width="44.85546875" style="188" bestFit="1" customWidth="1"/>
    <col min="3075" max="3075" width="10.5703125" style="188" customWidth="1"/>
    <col min="3076" max="3076" width="12.7109375" style="188" customWidth="1"/>
    <col min="3077" max="3077" width="12.42578125" style="188" customWidth="1"/>
    <col min="3078" max="3078" width="14.7109375" style="188" customWidth="1"/>
    <col min="3079" max="3083" width="0" style="188" hidden="1" customWidth="1"/>
    <col min="3084" max="3084" width="10.140625" style="188" bestFit="1" customWidth="1"/>
    <col min="3085" max="3328" width="9.140625" style="188"/>
    <col min="3329" max="3329" width="5.42578125" style="188" customWidth="1"/>
    <col min="3330" max="3330" width="44.85546875" style="188" bestFit="1" customWidth="1"/>
    <col min="3331" max="3331" width="10.5703125" style="188" customWidth="1"/>
    <col min="3332" max="3332" width="12.7109375" style="188" customWidth="1"/>
    <col min="3333" max="3333" width="12.42578125" style="188" customWidth="1"/>
    <col min="3334" max="3334" width="14.7109375" style="188" customWidth="1"/>
    <col min="3335" max="3339" width="0" style="188" hidden="1" customWidth="1"/>
    <col min="3340" max="3340" width="10.140625" style="188" bestFit="1" customWidth="1"/>
    <col min="3341" max="3584" width="9.140625" style="188"/>
    <col min="3585" max="3585" width="5.42578125" style="188" customWidth="1"/>
    <col min="3586" max="3586" width="44.85546875" style="188" bestFit="1" customWidth="1"/>
    <col min="3587" max="3587" width="10.5703125" style="188" customWidth="1"/>
    <col min="3588" max="3588" width="12.7109375" style="188" customWidth="1"/>
    <col min="3589" max="3589" width="12.42578125" style="188" customWidth="1"/>
    <col min="3590" max="3590" width="14.7109375" style="188" customWidth="1"/>
    <col min="3591" max="3595" width="0" style="188" hidden="1" customWidth="1"/>
    <col min="3596" max="3596" width="10.140625" style="188" bestFit="1" customWidth="1"/>
    <col min="3597" max="3840" width="9.140625" style="188"/>
    <col min="3841" max="3841" width="5.42578125" style="188" customWidth="1"/>
    <col min="3842" max="3842" width="44.85546875" style="188" bestFit="1" customWidth="1"/>
    <col min="3843" max="3843" width="10.5703125" style="188" customWidth="1"/>
    <col min="3844" max="3844" width="12.7109375" style="188" customWidth="1"/>
    <col min="3845" max="3845" width="12.42578125" style="188" customWidth="1"/>
    <col min="3846" max="3846" width="14.7109375" style="188" customWidth="1"/>
    <col min="3847" max="3851" width="0" style="188" hidden="1" customWidth="1"/>
    <col min="3852" max="3852" width="10.140625" style="188" bestFit="1" customWidth="1"/>
    <col min="3853" max="4096" width="9.140625" style="188"/>
    <col min="4097" max="4097" width="5.42578125" style="188" customWidth="1"/>
    <col min="4098" max="4098" width="44.85546875" style="188" bestFit="1" customWidth="1"/>
    <col min="4099" max="4099" width="10.5703125" style="188" customWidth="1"/>
    <col min="4100" max="4100" width="12.7109375" style="188" customWidth="1"/>
    <col min="4101" max="4101" width="12.42578125" style="188" customWidth="1"/>
    <col min="4102" max="4102" width="14.7109375" style="188" customWidth="1"/>
    <col min="4103" max="4107" width="0" style="188" hidden="1" customWidth="1"/>
    <col min="4108" max="4108" width="10.140625" style="188" bestFit="1" customWidth="1"/>
    <col min="4109" max="4352" width="9.140625" style="188"/>
    <col min="4353" max="4353" width="5.42578125" style="188" customWidth="1"/>
    <col min="4354" max="4354" width="44.85546875" style="188" bestFit="1" customWidth="1"/>
    <col min="4355" max="4355" width="10.5703125" style="188" customWidth="1"/>
    <col min="4356" max="4356" width="12.7109375" style="188" customWidth="1"/>
    <col min="4357" max="4357" width="12.42578125" style="188" customWidth="1"/>
    <col min="4358" max="4358" width="14.7109375" style="188" customWidth="1"/>
    <col min="4359" max="4363" width="0" style="188" hidden="1" customWidth="1"/>
    <col min="4364" max="4364" width="10.140625" style="188" bestFit="1" customWidth="1"/>
    <col min="4365" max="4608" width="9.140625" style="188"/>
    <col min="4609" max="4609" width="5.42578125" style="188" customWidth="1"/>
    <col min="4610" max="4610" width="44.85546875" style="188" bestFit="1" customWidth="1"/>
    <col min="4611" max="4611" width="10.5703125" style="188" customWidth="1"/>
    <col min="4612" max="4612" width="12.7109375" style="188" customWidth="1"/>
    <col min="4613" max="4613" width="12.42578125" style="188" customWidth="1"/>
    <col min="4614" max="4614" width="14.7109375" style="188" customWidth="1"/>
    <col min="4615" max="4619" width="0" style="188" hidden="1" customWidth="1"/>
    <col min="4620" max="4620" width="10.140625" style="188" bestFit="1" customWidth="1"/>
    <col min="4621" max="4864" width="9.140625" style="188"/>
    <col min="4865" max="4865" width="5.42578125" style="188" customWidth="1"/>
    <col min="4866" max="4866" width="44.85546875" style="188" bestFit="1" customWidth="1"/>
    <col min="4867" max="4867" width="10.5703125" style="188" customWidth="1"/>
    <col min="4868" max="4868" width="12.7109375" style="188" customWidth="1"/>
    <col min="4869" max="4869" width="12.42578125" style="188" customWidth="1"/>
    <col min="4870" max="4870" width="14.7109375" style="188" customWidth="1"/>
    <col min="4871" max="4875" width="0" style="188" hidden="1" customWidth="1"/>
    <col min="4876" max="4876" width="10.140625" style="188" bestFit="1" customWidth="1"/>
    <col min="4877" max="5120" width="9.140625" style="188"/>
    <col min="5121" max="5121" width="5.42578125" style="188" customWidth="1"/>
    <col min="5122" max="5122" width="44.85546875" style="188" bestFit="1" customWidth="1"/>
    <col min="5123" max="5123" width="10.5703125" style="188" customWidth="1"/>
    <col min="5124" max="5124" width="12.7109375" style="188" customWidth="1"/>
    <col min="5125" max="5125" width="12.42578125" style="188" customWidth="1"/>
    <col min="5126" max="5126" width="14.7109375" style="188" customWidth="1"/>
    <col min="5127" max="5131" width="0" style="188" hidden="1" customWidth="1"/>
    <col min="5132" max="5132" width="10.140625" style="188" bestFit="1" customWidth="1"/>
    <col min="5133" max="5376" width="9.140625" style="188"/>
    <col min="5377" max="5377" width="5.42578125" style="188" customWidth="1"/>
    <col min="5378" max="5378" width="44.85546875" style="188" bestFit="1" customWidth="1"/>
    <col min="5379" max="5379" width="10.5703125" style="188" customWidth="1"/>
    <col min="5380" max="5380" width="12.7109375" style="188" customWidth="1"/>
    <col min="5381" max="5381" width="12.42578125" style="188" customWidth="1"/>
    <col min="5382" max="5382" width="14.7109375" style="188" customWidth="1"/>
    <col min="5383" max="5387" width="0" style="188" hidden="1" customWidth="1"/>
    <col min="5388" max="5388" width="10.140625" style="188" bestFit="1" customWidth="1"/>
    <col min="5389" max="5632" width="9.140625" style="188"/>
    <col min="5633" max="5633" width="5.42578125" style="188" customWidth="1"/>
    <col min="5634" max="5634" width="44.85546875" style="188" bestFit="1" customWidth="1"/>
    <col min="5635" max="5635" width="10.5703125" style="188" customWidth="1"/>
    <col min="5636" max="5636" width="12.7109375" style="188" customWidth="1"/>
    <col min="5637" max="5637" width="12.42578125" style="188" customWidth="1"/>
    <col min="5638" max="5638" width="14.7109375" style="188" customWidth="1"/>
    <col min="5639" max="5643" width="0" style="188" hidden="1" customWidth="1"/>
    <col min="5644" max="5644" width="10.140625" style="188" bestFit="1" customWidth="1"/>
    <col min="5645" max="5888" width="9.140625" style="188"/>
    <col min="5889" max="5889" width="5.42578125" style="188" customWidth="1"/>
    <col min="5890" max="5890" width="44.85546875" style="188" bestFit="1" customWidth="1"/>
    <col min="5891" max="5891" width="10.5703125" style="188" customWidth="1"/>
    <col min="5892" max="5892" width="12.7109375" style="188" customWidth="1"/>
    <col min="5893" max="5893" width="12.42578125" style="188" customWidth="1"/>
    <col min="5894" max="5894" width="14.7109375" style="188" customWidth="1"/>
    <col min="5895" max="5899" width="0" style="188" hidden="1" customWidth="1"/>
    <col min="5900" max="5900" width="10.140625" style="188" bestFit="1" customWidth="1"/>
    <col min="5901" max="6144" width="9.140625" style="188"/>
    <col min="6145" max="6145" width="5.42578125" style="188" customWidth="1"/>
    <col min="6146" max="6146" width="44.85546875" style="188" bestFit="1" customWidth="1"/>
    <col min="6147" max="6147" width="10.5703125" style="188" customWidth="1"/>
    <col min="6148" max="6148" width="12.7109375" style="188" customWidth="1"/>
    <col min="6149" max="6149" width="12.42578125" style="188" customWidth="1"/>
    <col min="6150" max="6150" width="14.7109375" style="188" customWidth="1"/>
    <col min="6151" max="6155" width="0" style="188" hidden="1" customWidth="1"/>
    <col min="6156" max="6156" width="10.140625" style="188" bestFit="1" customWidth="1"/>
    <col min="6157" max="6400" width="9.140625" style="188"/>
    <col min="6401" max="6401" width="5.42578125" style="188" customWidth="1"/>
    <col min="6402" max="6402" width="44.85546875" style="188" bestFit="1" customWidth="1"/>
    <col min="6403" max="6403" width="10.5703125" style="188" customWidth="1"/>
    <col min="6404" max="6404" width="12.7109375" style="188" customWidth="1"/>
    <col min="6405" max="6405" width="12.42578125" style="188" customWidth="1"/>
    <col min="6406" max="6406" width="14.7109375" style="188" customWidth="1"/>
    <col min="6407" max="6411" width="0" style="188" hidden="1" customWidth="1"/>
    <col min="6412" max="6412" width="10.140625" style="188" bestFit="1" customWidth="1"/>
    <col min="6413" max="6656" width="9.140625" style="188"/>
    <col min="6657" max="6657" width="5.42578125" style="188" customWidth="1"/>
    <col min="6658" max="6658" width="44.85546875" style="188" bestFit="1" customWidth="1"/>
    <col min="6659" max="6659" width="10.5703125" style="188" customWidth="1"/>
    <col min="6660" max="6660" width="12.7109375" style="188" customWidth="1"/>
    <col min="6661" max="6661" width="12.42578125" style="188" customWidth="1"/>
    <col min="6662" max="6662" width="14.7109375" style="188" customWidth="1"/>
    <col min="6663" max="6667" width="0" style="188" hidden="1" customWidth="1"/>
    <col min="6668" max="6668" width="10.140625" style="188" bestFit="1" customWidth="1"/>
    <col min="6669" max="6912" width="9.140625" style="188"/>
    <col min="6913" max="6913" width="5.42578125" style="188" customWidth="1"/>
    <col min="6914" max="6914" width="44.85546875" style="188" bestFit="1" customWidth="1"/>
    <col min="6915" max="6915" width="10.5703125" style="188" customWidth="1"/>
    <col min="6916" max="6916" width="12.7109375" style="188" customWidth="1"/>
    <col min="6917" max="6917" width="12.42578125" style="188" customWidth="1"/>
    <col min="6918" max="6918" width="14.7109375" style="188" customWidth="1"/>
    <col min="6919" max="6923" width="0" style="188" hidden="1" customWidth="1"/>
    <col min="6924" max="6924" width="10.140625" style="188" bestFit="1" customWidth="1"/>
    <col min="6925" max="7168" width="9.140625" style="188"/>
    <col min="7169" max="7169" width="5.42578125" style="188" customWidth="1"/>
    <col min="7170" max="7170" width="44.85546875" style="188" bestFit="1" customWidth="1"/>
    <col min="7171" max="7171" width="10.5703125" style="188" customWidth="1"/>
    <col min="7172" max="7172" width="12.7109375" style="188" customWidth="1"/>
    <col min="7173" max="7173" width="12.42578125" style="188" customWidth="1"/>
    <col min="7174" max="7174" width="14.7109375" style="188" customWidth="1"/>
    <col min="7175" max="7179" width="0" style="188" hidden="1" customWidth="1"/>
    <col min="7180" max="7180" width="10.140625" style="188" bestFit="1" customWidth="1"/>
    <col min="7181" max="7424" width="9.140625" style="188"/>
    <col min="7425" max="7425" width="5.42578125" style="188" customWidth="1"/>
    <col min="7426" max="7426" width="44.85546875" style="188" bestFit="1" customWidth="1"/>
    <col min="7427" max="7427" width="10.5703125" style="188" customWidth="1"/>
    <col min="7428" max="7428" width="12.7109375" style="188" customWidth="1"/>
    <col min="7429" max="7429" width="12.42578125" style="188" customWidth="1"/>
    <col min="7430" max="7430" width="14.7109375" style="188" customWidth="1"/>
    <col min="7431" max="7435" width="0" style="188" hidden="1" customWidth="1"/>
    <col min="7436" max="7436" width="10.140625" style="188" bestFit="1" customWidth="1"/>
    <col min="7437" max="7680" width="9.140625" style="188"/>
    <col min="7681" max="7681" width="5.42578125" style="188" customWidth="1"/>
    <col min="7682" max="7682" width="44.85546875" style="188" bestFit="1" customWidth="1"/>
    <col min="7683" max="7683" width="10.5703125" style="188" customWidth="1"/>
    <col min="7684" max="7684" width="12.7109375" style="188" customWidth="1"/>
    <col min="7685" max="7685" width="12.42578125" style="188" customWidth="1"/>
    <col min="7686" max="7686" width="14.7109375" style="188" customWidth="1"/>
    <col min="7687" max="7691" width="0" style="188" hidden="1" customWidth="1"/>
    <col min="7692" max="7692" width="10.140625" style="188" bestFit="1" customWidth="1"/>
    <col min="7693" max="7936" width="9.140625" style="188"/>
    <col min="7937" max="7937" width="5.42578125" style="188" customWidth="1"/>
    <col min="7938" max="7938" width="44.85546875" style="188" bestFit="1" customWidth="1"/>
    <col min="7939" max="7939" width="10.5703125" style="188" customWidth="1"/>
    <col min="7940" max="7940" width="12.7109375" style="188" customWidth="1"/>
    <col min="7941" max="7941" width="12.42578125" style="188" customWidth="1"/>
    <col min="7942" max="7942" width="14.7109375" style="188" customWidth="1"/>
    <col min="7943" max="7947" width="0" style="188" hidden="1" customWidth="1"/>
    <col min="7948" max="7948" width="10.140625" style="188" bestFit="1" customWidth="1"/>
    <col min="7949" max="8192" width="9.140625" style="188"/>
    <col min="8193" max="8193" width="5.42578125" style="188" customWidth="1"/>
    <col min="8194" max="8194" width="44.85546875" style="188" bestFit="1" customWidth="1"/>
    <col min="8195" max="8195" width="10.5703125" style="188" customWidth="1"/>
    <col min="8196" max="8196" width="12.7109375" style="188" customWidth="1"/>
    <col min="8197" max="8197" width="12.42578125" style="188" customWidth="1"/>
    <col min="8198" max="8198" width="14.7109375" style="188" customWidth="1"/>
    <col min="8199" max="8203" width="0" style="188" hidden="1" customWidth="1"/>
    <col min="8204" max="8204" width="10.140625" style="188" bestFit="1" customWidth="1"/>
    <col min="8205" max="8448" width="9.140625" style="188"/>
    <col min="8449" max="8449" width="5.42578125" style="188" customWidth="1"/>
    <col min="8450" max="8450" width="44.85546875" style="188" bestFit="1" customWidth="1"/>
    <col min="8451" max="8451" width="10.5703125" style="188" customWidth="1"/>
    <col min="8452" max="8452" width="12.7109375" style="188" customWidth="1"/>
    <col min="8453" max="8453" width="12.42578125" style="188" customWidth="1"/>
    <col min="8454" max="8454" width="14.7109375" style="188" customWidth="1"/>
    <col min="8455" max="8459" width="0" style="188" hidden="1" customWidth="1"/>
    <col min="8460" max="8460" width="10.140625" style="188" bestFit="1" customWidth="1"/>
    <col min="8461" max="8704" width="9.140625" style="188"/>
    <col min="8705" max="8705" width="5.42578125" style="188" customWidth="1"/>
    <col min="8706" max="8706" width="44.85546875" style="188" bestFit="1" customWidth="1"/>
    <col min="8707" max="8707" width="10.5703125" style="188" customWidth="1"/>
    <col min="8708" max="8708" width="12.7109375" style="188" customWidth="1"/>
    <col min="8709" max="8709" width="12.42578125" style="188" customWidth="1"/>
    <col min="8710" max="8710" width="14.7109375" style="188" customWidth="1"/>
    <col min="8711" max="8715" width="0" style="188" hidden="1" customWidth="1"/>
    <col min="8716" max="8716" width="10.140625" style="188" bestFit="1" customWidth="1"/>
    <col min="8717" max="8960" width="9.140625" style="188"/>
    <col min="8961" max="8961" width="5.42578125" style="188" customWidth="1"/>
    <col min="8962" max="8962" width="44.85546875" style="188" bestFit="1" customWidth="1"/>
    <col min="8963" max="8963" width="10.5703125" style="188" customWidth="1"/>
    <col min="8964" max="8964" width="12.7109375" style="188" customWidth="1"/>
    <col min="8965" max="8965" width="12.42578125" style="188" customWidth="1"/>
    <col min="8966" max="8966" width="14.7109375" style="188" customWidth="1"/>
    <col min="8967" max="8971" width="0" style="188" hidden="1" customWidth="1"/>
    <col min="8972" max="8972" width="10.140625" style="188" bestFit="1" customWidth="1"/>
    <col min="8973" max="9216" width="9.140625" style="188"/>
    <col min="9217" max="9217" width="5.42578125" style="188" customWidth="1"/>
    <col min="9218" max="9218" width="44.85546875" style="188" bestFit="1" customWidth="1"/>
    <col min="9219" max="9219" width="10.5703125" style="188" customWidth="1"/>
    <col min="9220" max="9220" width="12.7109375" style="188" customWidth="1"/>
    <col min="9221" max="9221" width="12.42578125" style="188" customWidth="1"/>
    <col min="9222" max="9222" width="14.7109375" style="188" customWidth="1"/>
    <col min="9223" max="9227" width="0" style="188" hidden="1" customWidth="1"/>
    <col min="9228" max="9228" width="10.140625" style="188" bestFit="1" customWidth="1"/>
    <col min="9229" max="9472" width="9.140625" style="188"/>
    <col min="9473" max="9473" width="5.42578125" style="188" customWidth="1"/>
    <col min="9474" max="9474" width="44.85546875" style="188" bestFit="1" customWidth="1"/>
    <col min="9475" max="9475" width="10.5703125" style="188" customWidth="1"/>
    <col min="9476" max="9476" width="12.7109375" style="188" customWidth="1"/>
    <col min="9477" max="9477" width="12.42578125" style="188" customWidth="1"/>
    <col min="9478" max="9478" width="14.7109375" style="188" customWidth="1"/>
    <col min="9479" max="9483" width="0" style="188" hidden="1" customWidth="1"/>
    <col min="9484" max="9484" width="10.140625" style="188" bestFit="1" customWidth="1"/>
    <col min="9485" max="9728" width="9.140625" style="188"/>
    <col min="9729" max="9729" width="5.42578125" style="188" customWidth="1"/>
    <col min="9730" max="9730" width="44.85546875" style="188" bestFit="1" customWidth="1"/>
    <col min="9731" max="9731" width="10.5703125" style="188" customWidth="1"/>
    <col min="9732" max="9732" width="12.7109375" style="188" customWidth="1"/>
    <col min="9733" max="9733" width="12.42578125" style="188" customWidth="1"/>
    <col min="9734" max="9734" width="14.7109375" style="188" customWidth="1"/>
    <col min="9735" max="9739" width="0" style="188" hidden="1" customWidth="1"/>
    <col min="9740" max="9740" width="10.140625" style="188" bestFit="1" customWidth="1"/>
    <col min="9741" max="9984" width="9.140625" style="188"/>
    <col min="9985" max="9985" width="5.42578125" style="188" customWidth="1"/>
    <col min="9986" max="9986" width="44.85546875" style="188" bestFit="1" customWidth="1"/>
    <col min="9987" max="9987" width="10.5703125" style="188" customWidth="1"/>
    <col min="9988" max="9988" width="12.7109375" style="188" customWidth="1"/>
    <col min="9989" max="9989" width="12.42578125" style="188" customWidth="1"/>
    <col min="9990" max="9990" width="14.7109375" style="188" customWidth="1"/>
    <col min="9991" max="9995" width="0" style="188" hidden="1" customWidth="1"/>
    <col min="9996" max="9996" width="10.140625" style="188" bestFit="1" customWidth="1"/>
    <col min="9997" max="10240" width="9.140625" style="188"/>
    <col min="10241" max="10241" width="5.42578125" style="188" customWidth="1"/>
    <col min="10242" max="10242" width="44.85546875" style="188" bestFit="1" customWidth="1"/>
    <col min="10243" max="10243" width="10.5703125" style="188" customWidth="1"/>
    <col min="10244" max="10244" width="12.7109375" style="188" customWidth="1"/>
    <col min="10245" max="10245" width="12.42578125" style="188" customWidth="1"/>
    <col min="10246" max="10246" width="14.7109375" style="188" customWidth="1"/>
    <col min="10247" max="10251" width="0" style="188" hidden="1" customWidth="1"/>
    <col min="10252" max="10252" width="10.140625" style="188" bestFit="1" customWidth="1"/>
    <col min="10253" max="10496" width="9.140625" style="188"/>
    <col min="10497" max="10497" width="5.42578125" style="188" customWidth="1"/>
    <col min="10498" max="10498" width="44.85546875" style="188" bestFit="1" customWidth="1"/>
    <col min="10499" max="10499" width="10.5703125" style="188" customWidth="1"/>
    <col min="10500" max="10500" width="12.7109375" style="188" customWidth="1"/>
    <col min="10501" max="10501" width="12.42578125" style="188" customWidth="1"/>
    <col min="10502" max="10502" width="14.7109375" style="188" customWidth="1"/>
    <col min="10503" max="10507" width="0" style="188" hidden="1" customWidth="1"/>
    <col min="10508" max="10508" width="10.140625" style="188" bestFit="1" customWidth="1"/>
    <col min="10509" max="10752" width="9.140625" style="188"/>
    <col min="10753" max="10753" width="5.42578125" style="188" customWidth="1"/>
    <col min="10754" max="10754" width="44.85546875" style="188" bestFit="1" customWidth="1"/>
    <col min="10755" max="10755" width="10.5703125" style="188" customWidth="1"/>
    <col min="10756" max="10756" width="12.7109375" style="188" customWidth="1"/>
    <col min="10757" max="10757" width="12.42578125" style="188" customWidth="1"/>
    <col min="10758" max="10758" width="14.7109375" style="188" customWidth="1"/>
    <col min="10759" max="10763" width="0" style="188" hidden="1" customWidth="1"/>
    <col min="10764" max="10764" width="10.140625" style="188" bestFit="1" customWidth="1"/>
    <col min="10765" max="11008" width="9.140625" style="188"/>
    <col min="11009" max="11009" width="5.42578125" style="188" customWidth="1"/>
    <col min="11010" max="11010" width="44.85546875" style="188" bestFit="1" customWidth="1"/>
    <col min="11011" max="11011" width="10.5703125" style="188" customWidth="1"/>
    <col min="11012" max="11012" width="12.7109375" style="188" customWidth="1"/>
    <col min="11013" max="11013" width="12.42578125" style="188" customWidth="1"/>
    <col min="11014" max="11014" width="14.7109375" style="188" customWidth="1"/>
    <col min="11015" max="11019" width="0" style="188" hidden="1" customWidth="1"/>
    <col min="11020" max="11020" width="10.140625" style="188" bestFit="1" customWidth="1"/>
    <col min="11021" max="11264" width="9.140625" style="188"/>
    <col min="11265" max="11265" width="5.42578125" style="188" customWidth="1"/>
    <col min="11266" max="11266" width="44.85546875" style="188" bestFit="1" customWidth="1"/>
    <col min="11267" max="11267" width="10.5703125" style="188" customWidth="1"/>
    <col min="11268" max="11268" width="12.7109375" style="188" customWidth="1"/>
    <col min="11269" max="11269" width="12.42578125" style="188" customWidth="1"/>
    <col min="11270" max="11270" width="14.7109375" style="188" customWidth="1"/>
    <col min="11271" max="11275" width="0" style="188" hidden="1" customWidth="1"/>
    <col min="11276" max="11276" width="10.140625" style="188" bestFit="1" customWidth="1"/>
    <col min="11277" max="11520" width="9.140625" style="188"/>
    <col min="11521" max="11521" width="5.42578125" style="188" customWidth="1"/>
    <col min="11522" max="11522" width="44.85546875" style="188" bestFit="1" customWidth="1"/>
    <col min="11523" max="11523" width="10.5703125" style="188" customWidth="1"/>
    <col min="11524" max="11524" width="12.7109375" style="188" customWidth="1"/>
    <col min="11525" max="11525" width="12.42578125" style="188" customWidth="1"/>
    <col min="11526" max="11526" width="14.7109375" style="188" customWidth="1"/>
    <col min="11527" max="11531" width="0" style="188" hidden="1" customWidth="1"/>
    <col min="11532" max="11532" width="10.140625" style="188" bestFit="1" customWidth="1"/>
    <col min="11533" max="11776" width="9.140625" style="188"/>
    <col min="11777" max="11777" width="5.42578125" style="188" customWidth="1"/>
    <col min="11778" max="11778" width="44.85546875" style="188" bestFit="1" customWidth="1"/>
    <col min="11779" max="11779" width="10.5703125" style="188" customWidth="1"/>
    <col min="11780" max="11780" width="12.7109375" style="188" customWidth="1"/>
    <col min="11781" max="11781" width="12.42578125" style="188" customWidth="1"/>
    <col min="11782" max="11782" width="14.7109375" style="188" customWidth="1"/>
    <col min="11783" max="11787" width="0" style="188" hidden="1" customWidth="1"/>
    <col min="11788" max="11788" width="10.140625" style="188" bestFit="1" customWidth="1"/>
    <col min="11789" max="12032" width="9.140625" style="188"/>
    <col min="12033" max="12033" width="5.42578125" style="188" customWidth="1"/>
    <col min="12034" max="12034" width="44.85546875" style="188" bestFit="1" customWidth="1"/>
    <col min="12035" max="12035" width="10.5703125" style="188" customWidth="1"/>
    <col min="12036" max="12036" width="12.7109375" style="188" customWidth="1"/>
    <col min="12037" max="12037" width="12.42578125" style="188" customWidth="1"/>
    <col min="12038" max="12038" width="14.7109375" style="188" customWidth="1"/>
    <col min="12039" max="12043" width="0" style="188" hidden="1" customWidth="1"/>
    <col min="12044" max="12044" width="10.140625" style="188" bestFit="1" customWidth="1"/>
    <col min="12045" max="12288" width="9.140625" style="188"/>
    <col min="12289" max="12289" width="5.42578125" style="188" customWidth="1"/>
    <col min="12290" max="12290" width="44.85546875" style="188" bestFit="1" customWidth="1"/>
    <col min="12291" max="12291" width="10.5703125" style="188" customWidth="1"/>
    <col min="12292" max="12292" width="12.7109375" style="188" customWidth="1"/>
    <col min="12293" max="12293" width="12.42578125" style="188" customWidth="1"/>
    <col min="12294" max="12294" width="14.7109375" style="188" customWidth="1"/>
    <col min="12295" max="12299" width="0" style="188" hidden="1" customWidth="1"/>
    <col min="12300" max="12300" width="10.140625" style="188" bestFit="1" customWidth="1"/>
    <col min="12301" max="12544" width="9.140625" style="188"/>
    <col min="12545" max="12545" width="5.42578125" style="188" customWidth="1"/>
    <col min="12546" max="12546" width="44.85546875" style="188" bestFit="1" customWidth="1"/>
    <col min="12547" max="12547" width="10.5703125" style="188" customWidth="1"/>
    <col min="12548" max="12548" width="12.7109375" style="188" customWidth="1"/>
    <col min="12549" max="12549" width="12.42578125" style="188" customWidth="1"/>
    <col min="12550" max="12550" width="14.7109375" style="188" customWidth="1"/>
    <col min="12551" max="12555" width="0" style="188" hidden="1" customWidth="1"/>
    <col min="12556" max="12556" width="10.140625" style="188" bestFit="1" customWidth="1"/>
    <col min="12557" max="12800" width="9.140625" style="188"/>
    <col min="12801" max="12801" width="5.42578125" style="188" customWidth="1"/>
    <col min="12802" max="12802" width="44.85546875" style="188" bestFit="1" customWidth="1"/>
    <col min="12803" max="12803" width="10.5703125" style="188" customWidth="1"/>
    <col min="12804" max="12804" width="12.7109375" style="188" customWidth="1"/>
    <col min="12805" max="12805" width="12.42578125" style="188" customWidth="1"/>
    <col min="12806" max="12806" width="14.7109375" style="188" customWidth="1"/>
    <col min="12807" max="12811" width="0" style="188" hidden="1" customWidth="1"/>
    <col min="12812" max="12812" width="10.140625" style="188" bestFit="1" customWidth="1"/>
    <col min="12813" max="13056" width="9.140625" style="188"/>
    <col min="13057" max="13057" width="5.42578125" style="188" customWidth="1"/>
    <col min="13058" max="13058" width="44.85546875" style="188" bestFit="1" customWidth="1"/>
    <col min="13059" max="13059" width="10.5703125" style="188" customWidth="1"/>
    <col min="13060" max="13060" width="12.7109375" style="188" customWidth="1"/>
    <col min="13061" max="13061" width="12.42578125" style="188" customWidth="1"/>
    <col min="13062" max="13062" width="14.7109375" style="188" customWidth="1"/>
    <col min="13063" max="13067" width="0" style="188" hidden="1" customWidth="1"/>
    <col min="13068" max="13068" width="10.140625" style="188" bestFit="1" customWidth="1"/>
    <col min="13069" max="13312" width="9.140625" style="188"/>
    <col min="13313" max="13313" width="5.42578125" style="188" customWidth="1"/>
    <col min="13314" max="13314" width="44.85546875" style="188" bestFit="1" customWidth="1"/>
    <col min="13315" max="13315" width="10.5703125" style="188" customWidth="1"/>
    <col min="13316" max="13316" width="12.7109375" style="188" customWidth="1"/>
    <col min="13317" max="13317" width="12.42578125" style="188" customWidth="1"/>
    <col min="13318" max="13318" width="14.7109375" style="188" customWidth="1"/>
    <col min="13319" max="13323" width="0" style="188" hidden="1" customWidth="1"/>
    <col min="13324" max="13324" width="10.140625" style="188" bestFit="1" customWidth="1"/>
    <col min="13325" max="13568" width="9.140625" style="188"/>
    <col min="13569" max="13569" width="5.42578125" style="188" customWidth="1"/>
    <col min="13570" max="13570" width="44.85546875" style="188" bestFit="1" customWidth="1"/>
    <col min="13571" max="13571" width="10.5703125" style="188" customWidth="1"/>
    <col min="13572" max="13572" width="12.7109375" style="188" customWidth="1"/>
    <col min="13573" max="13573" width="12.42578125" style="188" customWidth="1"/>
    <col min="13574" max="13574" width="14.7109375" style="188" customWidth="1"/>
    <col min="13575" max="13579" width="0" style="188" hidden="1" customWidth="1"/>
    <col min="13580" max="13580" width="10.140625" style="188" bestFit="1" customWidth="1"/>
    <col min="13581" max="13824" width="9.140625" style="188"/>
    <col min="13825" max="13825" width="5.42578125" style="188" customWidth="1"/>
    <col min="13826" max="13826" width="44.85546875" style="188" bestFit="1" customWidth="1"/>
    <col min="13827" max="13827" width="10.5703125" style="188" customWidth="1"/>
    <col min="13828" max="13828" width="12.7109375" style="188" customWidth="1"/>
    <col min="13829" max="13829" width="12.42578125" style="188" customWidth="1"/>
    <col min="13830" max="13830" width="14.7109375" style="188" customWidth="1"/>
    <col min="13831" max="13835" width="0" style="188" hidden="1" customWidth="1"/>
    <col min="13836" max="13836" width="10.140625" style="188" bestFit="1" customWidth="1"/>
    <col min="13837" max="14080" width="9.140625" style="188"/>
    <col min="14081" max="14081" width="5.42578125" style="188" customWidth="1"/>
    <col min="14082" max="14082" width="44.85546875" style="188" bestFit="1" customWidth="1"/>
    <col min="14083" max="14083" width="10.5703125" style="188" customWidth="1"/>
    <col min="14084" max="14084" width="12.7109375" style="188" customWidth="1"/>
    <col min="14085" max="14085" width="12.42578125" style="188" customWidth="1"/>
    <col min="14086" max="14086" width="14.7109375" style="188" customWidth="1"/>
    <col min="14087" max="14091" width="0" style="188" hidden="1" customWidth="1"/>
    <col min="14092" max="14092" width="10.140625" style="188" bestFit="1" customWidth="1"/>
    <col min="14093" max="14336" width="9.140625" style="188"/>
    <col min="14337" max="14337" width="5.42578125" style="188" customWidth="1"/>
    <col min="14338" max="14338" width="44.85546875" style="188" bestFit="1" customWidth="1"/>
    <col min="14339" max="14339" width="10.5703125" style="188" customWidth="1"/>
    <col min="14340" max="14340" width="12.7109375" style="188" customWidth="1"/>
    <col min="14341" max="14341" width="12.42578125" style="188" customWidth="1"/>
    <col min="14342" max="14342" width="14.7109375" style="188" customWidth="1"/>
    <col min="14343" max="14347" width="0" style="188" hidden="1" customWidth="1"/>
    <col min="14348" max="14348" width="10.140625" style="188" bestFit="1" customWidth="1"/>
    <col min="14349" max="14592" width="9.140625" style="188"/>
    <col min="14593" max="14593" width="5.42578125" style="188" customWidth="1"/>
    <col min="14594" max="14594" width="44.85546875" style="188" bestFit="1" customWidth="1"/>
    <col min="14595" max="14595" width="10.5703125" style="188" customWidth="1"/>
    <col min="14596" max="14596" width="12.7109375" style="188" customWidth="1"/>
    <col min="14597" max="14597" width="12.42578125" style="188" customWidth="1"/>
    <col min="14598" max="14598" width="14.7109375" style="188" customWidth="1"/>
    <col min="14599" max="14603" width="0" style="188" hidden="1" customWidth="1"/>
    <col min="14604" max="14604" width="10.140625" style="188" bestFit="1" customWidth="1"/>
    <col min="14605" max="14848" width="9.140625" style="188"/>
    <col min="14849" max="14849" width="5.42578125" style="188" customWidth="1"/>
    <col min="14850" max="14850" width="44.85546875" style="188" bestFit="1" customWidth="1"/>
    <col min="14851" max="14851" width="10.5703125" style="188" customWidth="1"/>
    <col min="14852" max="14852" width="12.7109375" style="188" customWidth="1"/>
    <col min="14853" max="14853" width="12.42578125" style="188" customWidth="1"/>
    <col min="14854" max="14854" width="14.7109375" style="188" customWidth="1"/>
    <col min="14855" max="14859" width="0" style="188" hidden="1" customWidth="1"/>
    <col min="14860" max="14860" width="10.140625" style="188" bestFit="1" customWidth="1"/>
    <col min="14861" max="15104" width="9.140625" style="188"/>
    <col min="15105" max="15105" width="5.42578125" style="188" customWidth="1"/>
    <col min="15106" max="15106" width="44.85546875" style="188" bestFit="1" customWidth="1"/>
    <col min="15107" max="15107" width="10.5703125" style="188" customWidth="1"/>
    <col min="15108" max="15108" width="12.7109375" style="188" customWidth="1"/>
    <col min="15109" max="15109" width="12.42578125" style="188" customWidth="1"/>
    <col min="15110" max="15110" width="14.7109375" style="188" customWidth="1"/>
    <col min="15111" max="15115" width="0" style="188" hidden="1" customWidth="1"/>
    <col min="15116" max="15116" width="10.140625" style="188" bestFit="1" customWidth="1"/>
    <col min="15117" max="15360" width="9.140625" style="188"/>
    <col min="15361" max="15361" width="5.42578125" style="188" customWidth="1"/>
    <col min="15362" max="15362" width="44.85546875" style="188" bestFit="1" customWidth="1"/>
    <col min="15363" max="15363" width="10.5703125" style="188" customWidth="1"/>
    <col min="15364" max="15364" width="12.7109375" style="188" customWidth="1"/>
    <col min="15365" max="15365" width="12.42578125" style="188" customWidth="1"/>
    <col min="15366" max="15366" width="14.7109375" style="188" customWidth="1"/>
    <col min="15367" max="15371" width="0" style="188" hidden="1" customWidth="1"/>
    <col min="15372" max="15372" width="10.140625" style="188" bestFit="1" customWidth="1"/>
    <col min="15373" max="15616" width="9.140625" style="188"/>
    <col min="15617" max="15617" width="5.42578125" style="188" customWidth="1"/>
    <col min="15618" max="15618" width="44.85546875" style="188" bestFit="1" customWidth="1"/>
    <col min="15619" max="15619" width="10.5703125" style="188" customWidth="1"/>
    <col min="15620" max="15620" width="12.7109375" style="188" customWidth="1"/>
    <col min="15621" max="15621" width="12.42578125" style="188" customWidth="1"/>
    <col min="15622" max="15622" width="14.7109375" style="188" customWidth="1"/>
    <col min="15623" max="15627" width="0" style="188" hidden="1" customWidth="1"/>
    <col min="15628" max="15628" width="10.140625" style="188" bestFit="1" customWidth="1"/>
    <col min="15629" max="15872" width="9.140625" style="188"/>
    <col min="15873" max="15873" width="5.42578125" style="188" customWidth="1"/>
    <col min="15874" max="15874" width="44.85546875" style="188" bestFit="1" customWidth="1"/>
    <col min="15875" max="15875" width="10.5703125" style="188" customWidth="1"/>
    <col min="15876" max="15876" width="12.7109375" style="188" customWidth="1"/>
    <col min="15877" max="15877" width="12.42578125" style="188" customWidth="1"/>
    <col min="15878" max="15878" width="14.7109375" style="188" customWidth="1"/>
    <col min="15879" max="15883" width="0" style="188" hidden="1" customWidth="1"/>
    <col min="15884" max="15884" width="10.140625" style="188" bestFit="1" customWidth="1"/>
    <col min="15885" max="16128" width="9.140625" style="188"/>
    <col min="16129" max="16129" width="5.42578125" style="188" customWidth="1"/>
    <col min="16130" max="16130" width="44.85546875" style="188" bestFit="1" customWidth="1"/>
    <col min="16131" max="16131" width="10.5703125" style="188" customWidth="1"/>
    <col min="16132" max="16132" width="12.7109375" style="188" customWidth="1"/>
    <col min="16133" max="16133" width="12.42578125" style="188" customWidth="1"/>
    <col min="16134" max="16134" width="14.7109375" style="188" customWidth="1"/>
    <col min="16135" max="16139" width="0" style="188" hidden="1" customWidth="1"/>
    <col min="16140" max="16140" width="10.140625" style="188" bestFit="1" customWidth="1"/>
    <col min="16141" max="16384" width="9.140625" style="188"/>
  </cols>
  <sheetData>
    <row r="1" spans="1:13">
      <c r="B1" s="1239"/>
      <c r="C1" s="2492" t="s">
        <v>361</v>
      </c>
      <c r="D1" s="2492"/>
      <c r="E1" s="2492"/>
      <c r="F1" s="2492"/>
    </row>
    <row r="3" spans="1:13" ht="12.75" customHeight="1">
      <c r="A3" s="2493" t="s">
        <v>366</v>
      </c>
      <c r="B3" s="2493"/>
      <c r="C3" s="2493"/>
      <c r="D3" s="2493"/>
      <c r="E3" s="2493"/>
      <c r="F3" s="2493"/>
    </row>
    <row r="4" spans="1:13">
      <c r="A4" s="2493" t="s">
        <v>212</v>
      </c>
      <c r="B4" s="2493"/>
      <c r="C4" s="2493"/>
      <c r="D4" s="2493"/>
      <c r="E4" s="2493"/>
      <c r="F4" s="2493"/>
    </row>
    <row r="5" spans="1:13" ht="15.75" thickBot="1">
      <c r="A5" s="1240"/>
      <c r="B5" s="1239"/>
      <c r="C5" s="1239"/>
      <c r="D5" s="1239"/>
      <c r="E5" s="1240"/>
      <c r="F5" s="177" t="s">
        <v>176</v>
      </c>
    </row>
    <row r="6" spans="1:13" s="189" customFormat="1" ht="75" customHeight="1">
      <c r="A6" s="1243" t="s">
        <v>213</v>
      </c>
      <c r="B6" s="1293" t="s">
        <v>214</v>
      </c>
      <c r="C6" s="1293" t="s">
        <v>215</v>
      </c>
      <c r="D6" s="1293" t="s">
        <v>216</v>
      </c>
      <c r="E6" s="1293" t="s">
        <v>217</v>
      </c>
      <c r="F6" s="1294" t="s">
        <v>218</v>
      </c>
    </row>
    <row r="7" spans="1:13" s="189" customFormat="1">
      <c r="A7" s="1295">
        <v>1</v>
      </c>
      <c r="B7" s="1244">
        <v>2</v>
      </c>
      <c r="C7" s="1244">
        <v>3</v>
      </c>
      <c r="D7" s="1244">
        <v>4</v>
      </c>
      <c r="E7" s="1244">
        <v>5</v>
      </c>
      <c r="F7" s="1296">
        <v>6</v>
      </c>
    </row>
    <row r="8" spans="1:13" ht="17.45" customHeight="1">
      <c r="A8" s="935">
        <v>1</v>
      </c>
      <c r="B8" s="936" t="s">
        <v>38</v>
      </c>
      <c r="C8" s="937"/>
      <c r="D8" s="937"/>
      <c r="E8" s="1299"/>
      <c r="F8" s="934"/>
      <c r="L8" s="1239"/>
    </row>
    <row r="9" spans="1:13" s="189" customFormat="1" thickBot="1">
      <c r="A9" s="938"/>
      <c r="B9" s="939" t="s">
        <v>679</v>
      </c>
      <c r="C9" s="939"/>
      <c r="D9" s="939"/>
      <c r="E9" s="939"/>
      <c r="F9" s="940">
        <f>F8</f>
        <v>0</v>
      </c>
    </row>
    <row r="10" spans="1:13">
      <c r="D10" s="2491" t="s">
        <v>680</v>
      </c>
      <c r="E10" s="2491"/>
      <c r="F10" s="1949">
        <f>F9</f>
        <v>0</v>
      </c>
      <c r="M10" s="617"/>
    </row>
    <row r="11" spans="1:13">
      <c r="F11" s="941"/>
    </row>
    <row r="12" spans="1:13">
      <c r="B12" s="1245"/>
      <c r="C12" s="380"/>
      <c r="D12" s="380"/>
      <c r="E12" s="1"/>
      <c r="F12" s="1"/>
    </row>
    <row r="13" spans="1:13">
      <c r="B13" s="1245"/>
      <c r="C13" s="942"/>
      <c r="D13" s="943"/>
      <c r="E13" s="944"/>
      <c r="F13" s="944"/>
    </row>
    <row r="14" spans="1:13">
      <c r="B14" s="380"/>
      <c r="C14" s="945" t="s">
        <v>682</v>
      </c>
      <c r="D14" s="945"/>
      <c r="E14" s="946"/>
      <c r="F14" s="77"/>
    </row>
  </sheetData>
  <mergeCells count="4">
    <mergeCell ref="D10:E10"/>
    <mergeCell ref="C1:F1"/>
    <mergeCell ref="A3:F3"/>
    <mergeCell ref="A4:F4"/>
  </mergeCells>
  <pageMargins left="0.74803149606299213" right="0.39370078740157483" top="0.35433070866141736" bottom="0.35433070866141736" header="0.51181102362204722" footer="0.51181102362204722"/>
  <pageSetup paperSize="9" scale="91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29"/>
  <sheetViews>
    <sheetView zoomScaleNormal="100" workbookViewId="0">
      <selection activeCell="N19" sqref="N19"/>
    </sheetView>
  </sheetViews>
  <sheetFormatPr defaultColWidth="9.140625" defaultRowHeight="12.75"/>
  <cols>
    <col min="1" max="1" width="8.140625" style="191" customWidth="1"/>
    <col min="2" max="2" width="27.140625" style="191" customWidth="1"/>
    <col min="3" max="3" width="9.140625" style="208"/>
    <col min="4" max="6" width="12.140625" style="191" customWidth="1"/>
    <col min="7" max="7" width="15.42578125" style="191" bestFit="1" customWidth="1"/>
    <col min="8" max="8" width="13.7109375" style="191" customWidth="1"/>
    <col min="9" max="9" width="17.42578125" style="191" customWidth="1"/>
    <col min="10" max="10" width="9.140625" style="191"/>
    <col min="11" max="13" width="0" style="191" hidden="1" customWidth="1"/>
    <col min="14" max="14" width="11.140625" style="191" customWidth="1"/>
    <col min="15" max="16384" width="9.140625" style="191"/>
  </cols>
  <sheetData>
    <row r="1" spans="1:18" s="188" customFormat="1" ht="15">
      <c r="D1" s="120"/>
      <c r="E1" s="120"/>
      <c r="F1" s="2283" t="s">
        <v>361</v>
      </c>
      <c r="G1" s="2283"/>
      <c r="H1" s="2283"/>
      <c r="I1" s="2283"/>
    </row>
    <row r="2" spans="1:18" s="188" customFormat="1" ht="15"/>
    <row r="3" spans="1:18" ht="14.25">
      <c r="A3" s="2495" t="s">
        <v>367</v>
      </c>
      <c r="B3" s="2495"/>
      <c r="C3" s="2495"/>
      <c r="D3" s="2495"/>
      <c r="E3" s="2495"/>
      <c r="F3" s="2495"/>
      <c r="G3" s="2495"/>
      <c r="H3" s="2495"/>
      <c r="I3" s="2495"/>
    </row>
    <row r="4" spans="1:18" ht="14.25">
      <c r="A4" s="2495" t="s">
        <v>220</v>
      </c>
      <c r="B4" s="2495"/>
      <c r="C4" s="2495"/>
      <c r="D4" s="2495"/>
      <c r="E4" s="2495"/>
      <c r="F4" s="2495"/>
      <c r="G4" s="2495"/>
      <c r="H4" s="2495"/>
      <c r="I4" s="2495"/>
    </row>
    <row r="5" spans="1:18" ht="14.25">
      <c r="A5" s="190"/>
      <c r="B5" s="190"/>
      <c r="C5" s="190"/>
      <c r="D5" s="190"/>
      <c r="E5" s="190"/>
      <c r="F5" s="190"/>
      <c r="G5" s="190"/>
      <c r="H5" s="190"/>
      <c r="I5" s="190"/>
    </row>
    <row r="6" spans="1:18" ht="14.25">
      <c r="A6" s="350" t="s">
        <v>319</v>
      </c>
      <c r="B6" s="350"/>
      <c r="C6" s="190"/>
      <c r="D6" s="350" t="s">
        <v>320</v>
      </c>
      <c r="E6" s="190"/>
      <c r="F6" s="190"/>
      <c r="G6" s="190"/>
      <c r="H6" s="190"/>
      <c r="I6" s="190"/>
    </row>
    <row r="7" spans="1:18" ht="14.25" thickBot="1">
      <c r="A7" s="192"/>
      <c r="B7" s="192"/>
      <c r="C7" s="192"/>
      <c r="D7" s="192"/>
      <c r="E7" s="192"/>
      <c r="F7" s="192"/>
      <c r="G7" s="192"/>
      <c r="H7" s="192"/>
      <c r="I7" s="193" t="s">
        <v>176</v>
      </c>
    </row>
    <row r="8" spans="1:18" ht="45">
      <c r="A8" s="194" t="s">
        <v>14</v>
      </c>
      <c r="B8" s="195" t="s">
        <v>221</v>
      </c>
      <c r="C8" s="195" t="s">
        <v>222</v>
      </c>
      <c r="D8" s="195" t="s">
        <v>223</v>
      </c>
      <c r="E8" s="195" t="s">
        <v>224</v>
      </c>
      <c r="F8" s="195" t="s">
        <v>225</v>
      </c>
      <c r="G8" s="195" t="s">
        <v>226</v>
      </c>
      <c r="H8" s="195" t="s">
        <v>33</v>
      </c>
      <c r="I8" s="196" t="s">
        <v>227</v>
      </c>
    </row>
    <row r="9" spans="1:18">
      <c r="A9" s="197">
        <v>1</v>
      </c>
      <c r="B9" s="198">
        <v>2</v>
      </c>
      <c r="C9" s="198">
        <v>3</v>
      </c>
      <c r="D9" s="198">
        <v>4</v>
      </c>
      <c r="E9" s="198">
        <v>5</v>
      </c>
      <c r="F9" s="198">
        <v>6</v>
      </c>
      <c r="G9" s="198">
        <v>7</v>
      </c>
      <c r="H9" s="198">
        <v>8</v>
      </c>
      <c r="I9" s="199">
        <v>9</v>
      </c>
    </row>
    <row r="10" spans="1:18" s="205" customFormat="1" ht="11.25">
      <c r="A10" s="200"/>
      <c r="B10" s="201"/>
      <c r="C10" s="202"/>
      <c r="D10" s="202"/>
      <c r="E10" s="202"/>
      <c r="F10" s="202"/>
      <c r="G10" s="203"/>
      <c r="H10" s="203"/>
      <c r="I10" s="204"/>
      <c r="M10" s="206"/>
    </row>
    <row r="11" spans="1:18" s="1204" customFormat="1" ht="15">
      <c r="A11" s="1305">
        <v>1</v>
      </c>
      <c r="B11" s="1200"/>
      <c r="C11" s="1306"/>
      <c r="D11" s="1201"/>
      <c r="E11" s="1201"/>
      <c r="F11" s="1202"/>
      <c r="G11" s="1203"/>
      <c r="H11" s="947"/>
      <c r="I11" s="948"/>
      <c r="M11" s="1205"/>
      <c r="N11" s="1307"/>
    </row>
    <row r="12" spans="1:18" s="1204" customFormat="1" ht="15">
      <c r="A12" s="1305">
        <v>2</v>
      </c>
      <c r="B12" s="1308"/>
      <c r="C12" s="1306"/>
      <c r="D12" s="1201"/>
      <c r="E12" s="1201"/>
      <c r="F12" s="1202"/>
      <c r="G12" s="1203"/>
      <c r="H12" s="947"/>
      <c r="I12" s="948"/>
      <c r="M12" s="1205"/>
    </row>
    <row r="13" spans="1:18" s="1204" customFormat="1" ht="15">
      <c r="A13" s="1305">
        <v>3</v>
      </c>
      <c r="B13" s="1308"/>
      <c r="C13" s="1306"/>
      <c r="D13" s="1201"/>
      <c r="E13" s="1201"/>
      <c r="F13" s="1202"/>
      <c r="G13" s="1203"/>
      <c r="H13" s="947"/>
      <c r="I13" s="948"/>
      <c r="M13" s="1205"/>
    </row>
    <row r="14" spans="1:18" s="1204" customFormat="1" ht="15">
      <c r="A14" s="1305">
        <v>4</v>
      </c>
      <c r="B14" s="1200"/>
      <c r="C14" s="1201"/>
      <c r="D14" s="1201"/>
      <c r="E14" s="1201"/>
      <c r="F14" s="1202"/>
      <c r="G14" s="1203"/>
      <c r="H14" s="947"/>
      <c r="I14" s="948"/>
      <c r="M14" s="1205"/>
    </row>
    <row r="15" spans="1:18" s="1204" customFormat="1" ht="15">
      <c r="A15" s="339">
        <v>5</v>
      </c>
      <c r="B15" s="1200"/>
      <c r="C15" s="937"/>
      <c r="D15" s="1201"/>
      <c r="E15" s="1201"/>
      <c r="F15" s="1202"/>
      <c r="G15" s="1203"/>
      <c r="H15" s="947"/>
      <c r="I15" s="948"/>
      <c r="M15" s="1205"/>
    </row>
    <row r="16" spans="1:18" s="1204" customFormat="1" ht="15">
      <c r="A16" s="339">
        <v>6</v>
      </c>
      <c r="B16" s="1200"/>
      <c r="C16" s="1201"/>
      <c r="D16" s="1201"/>
      <c r="E16" s="1201"/>
      <c r="F16" s="1202"/>
      <c r="G16" s="1203"/>
      <c r="H16" s="947"/>
      <c r="I16" s="948"/>
      <c r="M16" s="1205"/>
      <c r="N16" s="1780"/>
      <c r="O16" s="1781"/>
      <c r="P16" s="1782"/>
      <c r="Q16" s="1781"/>
      <c r="R16" s="1783"/>
    </row>
    <row r="17" spans="1:18" s="1204" customFormat="1" ht="15">
      <c r="A17" s="339">
        <v>7</v>
      </c>
      <c r="B17" s="1200"/>
      <c r="C17" s="1201"/>
      <c r="D17" s="1201"/>
      <c r="E17" s="1201"/>
      <c r="F17" s="1202"/>
      <c r="G17" s="1203"/>
      <c r="H17" s="947"/>
      <c r="I17" s="948"/>
      <c r="M17" s="1205"/>
      <c r="N17" s="1780"/>
      <c r="O17" s="1781"/>
      <c r="P17" s="1781"/>
      <c r="Q17" s="1781"/>
      <c r="R17" s="1783"/>
    </row>
    <row r="18" spans="1:18" s="1204" customFormat="1" ht="15">
      <c r="A18" s="339">
        <v>8</v>
      </c>
      <c r="B18" s="1200"/>
      <c r="C18" s="1201"/>
      <c r="D18" s="1201"/>
      <c r="E18" s="1201"/>
      <c r="F18" s="1202"/>
      <c r="G18" s="1203"/>
      <c r="H18" s="947"/>
      <c r="I18" s="948"/>
      <c r="M18" s="1205"/>
      <c r="N18" s="1780"/>
      <c r="O18" s="1781"/>
      <c r="P18" s="1781"/>
      <c r="Q18" s="1781"/>
      <c r="R18" s="1783"/>
    </row>
    <row r="19" spans="1:18" s="1204" customFormat="1" ht="15">
      <c r="A19" s="339"/>
      <c r="B19" s="1200"/>
      <c r="C19" s="1201"/>
      <c r="D19" s="1201"/>
      <c r="E19" s="1201"/>
      <c r="F19" s="1202"/>
      <c r="G19" s="1779"/>
      <c r="H19" s="947"/>
      <c r="I19" s="948"/>
      <c r="M19" s="1205"/>
      <c r="N19" s="1780"/>
      <c r="O19" s="1781"/>
      <c r="P19" s="1781"/>
      <c r="Q19" s="1781"/>
      <c r="R19" s="1783"/>
    </row>
    <row r="20" spans="1:18" s="207" customFormat="1" ht="15">
      <c r="A20" s="339"/>
      <c r="B20" t="s">
        <v>67</v>
      </c>
      <c r="C20" s="340"/>
      <c r="D20" s="340"/>
      <c r="E20" s="340"/>
      <c r="F20" s="341">
        <f>SUM(F11:F18)</f>
        <v>0</v>
      </c>
      <c r="G20" s="342"/>
      <c r="H20" s="340"/>
      <c r="I20" s="352">
        <f>SUM(I11:I19)</f>
        <v>0</v>
      </c>
      <c r="M20" s="206"/>
      <c r="N20" s="1784"/>
      <c r="O20" s="1784"/>
      <c r="P20" s="1784"/>
      <c r="Q20" s="1784"/>
      <c r="R20" s="1784"/>
    </row>
    <row r="21" spans="1:18" s="205" customFormat="1" ht="15">
      <c r="A21" s="339"/>
      <c r="B21" s="343" t="s">
        <v>196</v>
      </c>
      <c r="C21" s="344"/>
      <c r="D21" s="344"/>
      <c r="E21" s="344"/>
      <c r="F21" s="344"/>
      <c r="G21" s="345"/>
      <c r="H21" s="345"/>
      <c r="I21" s="353">
        <f>ROUND(I20/30.4,2)</f>
        <v>0</v>
      </c>
      <c r="M21" s="206"/>
    </row>
    <row r="22" spans="1:18" s="205" customFormat="1" ht="15.75" thickBot="1">
      <c r="A22" s="346"/>
      <c r="B22" s="347" t="s">
        <v>318</v>
      </c>
      <c r="C22" s="348" t="s">
        <v>62</v>
      </c>
      <c r="D22" s="351">
        <f>'№8.1.6 Спецтехника'!D14</f>
        <v>0</v>
      </c>
      <c r="E22" s="348"/>
      <c r="F22" s="348"/>
      <c r="G22" s="349"/>
      <c r="H22" s="349"/>
      <c r="I22" s="354">
        <f>ROUND(I21*D22,2)</f>
        <v>0</v>
      </c>
      <c r="M22" s="206"/>
    </row>
    <row r="26" spans="1:18" s="77" customFormat="1" ht="45.75" customHeight="1">
      <c r="A26" s="2494"/>
      <c r="B26" s="2494"/>
      <c r="D26" s="2464"/>
      <c r="E26" s="2464"/>
      <c r="G26" s="402"/>
      <c r="H26" s="2496"/>
      <c r="I26" s="2496"/>
      <c r="J26" s="117"/>
      <c r="K26" s="108"/>
      <c r="L26" s="2327"/>
      <c r="M26" s="2327"/>
    </row>
    <row r="27" spans="1:18" s="77" customFormat="1" ht="15">
      <c r="A27" s="2472" t="s">
        <v>126</v>
      </c>
      <c r="B27" s="2472"/>
      <c r="D27" s="2480" t="s">
        <v>124</v>
      </c>
      <c r="E27" s="2480"/>
      <c r="G27" s="401"/>
      <c r="H27" s="403" t="s">
        <v>127</v>
      </c>
      <c r="I27" s="117"/>
      <c r="J27" s="117"/>
      <c r="K27" s="108"/>
      <c r="L27" s="2462"/>
      <c r="M27" s="2462"/>
    </row>
    <row r="28" spans="1:18" s="141" customFormat="1" ht="15">
      <c r="I28" s="142"/>
      <c r="J28" s="142"/>
      <c r="K28" s="142"/>
      <c r="L28" s="142"/>
      <c r="M28" s="142"/>
      <c r="N28" s="142"/>
      <c r="O28" s="142"/>
      <c r="P28" s="142"/>
      <c r="Q28" s="142"/>
      <c r="R28" s="142"/>
    </row>
    <row r="29" spans="1:18">
      <c r="C29" s="191"/>
    </row>
  </sheetData>
  <mergeCells count="10">
    <mergeCell ref="A26:B26"/>
    <mergeCell ref="A27:B27"/>
    <mergeCell ref="L27:M27"/>
    <mergeCell ref="D27:E27"/>
    <mergeCell ref="F1:I1"/>
    <mergeCell ref="A3:I3"/>
    <mergeCell ref="A4:I4"/>
    <mergeCell ref="D26:E26"/>
    <mergeCell ref="H26:I26"/>
    <mergeCell ref="L26:M26"/>
  </mergeCells>
  <phoneticPr fontId="17" type="noConversion"/>
  <pageMargins left="0.74803149606299213" right="0.74803149606299213" top="0.59055118110236227" bottom="0.98425196850393704" header="0.51181102362204722" footer="0.51181102362204722"/>
  <pageSetup paperSize="9" scale="67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M45"/>
  <sheetViews>
    <sheetView topLeftCell="A29" workbookViewId="0">
      <selection activeCell="F53" sqref="F53"/>
    </sheetView>
  </sheetViews>
  <sheetFormatPr defaultColWidth="9.140625" defaultRowHeight="15"/>
  <cols>
    <col min="1" max="1" width="5.85546875" style="76" customWidth="1"/>
    <col min="2" max="2" width="35" style="77" customWidth="1"/>
    <col min="3" max="3" width="9.140625" style="76"/>
    <col min="4" max="4" width="16.140625" style="77" customWidth="1"/>
    <col min="5" max="5" width="13.28515625" style="77" customWidth="1"/>
    <col min="6" max="6" width="14.85546875" style="77" customWidth="1"/>
    <col min="7" max="13" width="0" style="77" hidden="1" customWidth="1"/>
    <col min="14" max="14" width="9.140625" style="77"/>
    <col min="15" max="15" width="13.7109375" style="77" bestFit="1" customWidth="1"/>
    <col min="16" max="16384" width="9.140625" style="77"/>
  </cols>
  <sheetData>
    <row r="1" spans="1:13" s="188" customFormat="1">
      <c r="A1" s="209"/>
      <c r="B1" s="2283" t="s">
        <v>368</v>
      </c>
      <c r="C1" s="2283"/>
      <c r="D1" s="2283"/>
      <c r="E1" s="2283"/>
      <c r="F1" s="2283"/>
      <c r="G1" s="2283"/>
      <c r="H1" s="2283"/>
      <c r="I1" s="2283"/>
    </row>
    <row r="2" spans="1:13" s="188" customFormat="1">
      <c r="A2" s="209"/>
      <c r="D2" s="429"/>
      <c r="E2" s="429"/>
      <c r="F2" s="429"/>
      <c r="G2" s="429"/>
      <c r="H2" s="429"/>
      <c r="I2" s="429"/>
    </row>
    <row r="3" spans="1:13">
      <c r="A3" s="2284" t="s">
        <v>369</v>
      </c>
      <c r="B3" s="2284"/>
      <c r="C3" s="2284"/>
      <c r="D3" s="2284"/>
      <c r="E3" s="2284"/>
      <c r="F3" s="2284"/>
    </row>
    <row r="4" spans="1:13" ht="18.75" customHeight="1">
      <c r="A4" s="2314" t="s">
        <v>1294</v>
      </c>
      <c r="B4" s="2314"/>
      <c r="C4" s="2314"/>
      <c r="D4" s="2314"/>
      <c r="E4" s="2314"/>
      <c r="F4" s="2314"/>
    </row>
    <row r="5" spans="1:13" ht="18.75" customHeight="1" thickBot="1">
      <c r="A5" s="125"/>
      <c r="B5" s="125"/>
      <c r="C5" s="125"/>
      <c r="D5" s="125"/>
      <c r="E5" s="125"/>
      <c r="F5" s="177" t="s">
        <v>176</v>
      </c>
    </row>
    <row r="6" spans="1:13" ht="37.5" customHeight="1">
      <c r="A6" s="949" t="s">
        <v>14</v>
      </c>
      <c r="B6" s="950" t="s">
        <v>15</v>
      </c>
      <c r="C6" s="950" t="s">
        <v>2</v>
      </c>
      <c r="D6" s="950" t="s">
        <v>16</v>
      </c>
      <c r="E6" s="950" t="s">
        <v>32</v>
      </c>
      <c r="F6" s="951" t="s">
        <v>33</v>
      </c>
    </row>
    <row r="7" spans="1:13" ht="15" customHeight="1">
      <c r="A7" s="60">
        <v>1</v>
      </c>
      <c r="B7" s="59">
        <v>2</v>
      </c>
      <c r="C7" s="59">
        <v>3</v>
      </c>
      <c r="D7" s="59">
        <v>4</v>
      </c>
      <c r="E7" s="59">
        <v>5</v>
      </c>
      <c r="F7" s="952">
        <v>6</v>
      </c>
    </row>
    <row r="8" spans="1:13">
      <c r="A8" s="62" t="s">
        <v>4</v>
      </c>
      <c r="B8" s="2497" t="s">
        <v>53</v>
      </c>
      <c r="C8" s="2498"/>
      <c r="D8" s="2498"/>
      <c r="E8" s="2498"/>
      <c r="F8" s="2499"/>
    </row>
    <row r="9" spans="1:13">
      <c r="A9" s="62"/>
      <c r="B9" s="953"/>
      <c r="C9" s="954"/>
      <c r="D9" s="955"/>
      <c r="E9" s="955"/>
      <c r="F9" s="356"/>
    </row>
    <row r="10" spans="1:13">
      <c r="A10" s="62"/>
      <c r="B10" s="953"/>
      <c r="C10" s="954"/>
      <c r="D10" s="955"/>
      <c r="E10" s="955"/>
      <c r="F10" s="356"/>
    </row>
    <row r="11" spans="1:13">
      <c r="A11" s="67"/>
      <c r="B11" s="211" t="s">
        <v>81</v>
      </c>
      <c r="C11" s="64"/>
      <c r="D11" s="65"/>
      <c r="E11" s="65"/>
      <c r="F11" s="276">
        <f>SUM(F9:F10)</f>
        <v>0</v>
      </c>
    </row>
    <row r="12" spans="1:13" ht="15.75" thickBot="1">
      <c r="A12" s="1297" t="s">
        <v>5</v>
      </c>
      <c r="B12" s="2500" t="s">
        <v>202</v>
      </c>
      <c r="C12" s="2500"/>
      <c r="D12" s="2500"/>
      <c r="E12" s="2500"/>
      <c r="F12" s="2501"/>
    </row>
    <row r="13" spans="1:13" ht="18.75" customHeight="1" thickBot="1">
      <c r="A13" s="956"/>
      <c r="B13" s="957" t="s">
        <v>188</v>
      </c>
      <c r="C13" s="958" t="s">
        <v>683</v>
      </c>
      <c r="D13" s="2503" t="s">
        <v>684</v>
      </c>
      <c r="E13" s="2504"/>
      <c r="F13" s="959" t="s">
        <v>685</v>
      </c>
    </row>
    <row r="14" spans="1:13" hidden="1">
      <c r="A14" s="960"/>
      <c r="B14" s="961" t="s">
        <v>686</v>
      </c>
      <c r="C14" s="962">
        <v>360</v>
      </c>
      <c r="D14" s="962"/>
      <c r="E14" s="962"/>
      <c r="F14" s="963">
        <f>D14/C14</f>
        <v>0</v>
      </c>
    </row>
    <row r="15" spans="1:13" hidden="1">
      <c r="A15" s="966"/>
      <c r="B15" s="953"/>
      <c r="C15" s="954"/>
      <c r="D15" s="954"/>
      <c r="E15" s="954"/>
      <c r="F15" s="965"/>
    </row>
    <row r="16" spans="1:13" hidden="1">
      <c r="A16" s="966"/>
      <c r="B16" s="953"/>
      <c r="C16" s="954"/>
      <c r="D16" s="954"/>
      <c r="E16" s="954"/>
      <c r="F16" s="965"/>
      <c r="G16" s="116"/>
      <c r="I16" s="2327"/>
      <c r="J16" s="2327"/>
      <c r="K16" s="108"/>
      <c r="L16" s="2327"/>
      <c r="M16" s="2327"/>
    </row>
    <row r="17" spans="1:13" hidden="1">
      <c r="A17" s="966"/>
      <c r="B17" s="953"/>
      <c r="C17" s="954"/>
      <c r="D17" s="954"/>
      <c r="E17" s="954"/>
      <c r="F17" s="965"/>
      <c r="G17" s="119" t="s">
        <v>127</v>
      </c>
      <c r="I17" s="2327"/>
      <c r="J17" s="2327"/>
      <c r="K17" s="108"/>
      <c r="L17" s="2462"/>
      <c r="M17" s="2462"/>
    </row>
    <row r="18" spans="1:13" hidden="1">
      <c r="A18" s="966"/>
      <c r="B18" s="953"/>
      <c r="C18" s="954"/>
      <c r="D18" s="954"/>
      <c r="E18" s="954"/>
      <c r="F18" s="965"/>
    </row>
    <row r="19" spans="1:13" hidden="1">
      <c r="A19" s="966"/>
      <c r="B19" s="953"/>
      <c r="C19" s="954"/>
      <c r="D19" s="954"/>
      <c r="E19" s="954"/>
      <c r="F19" s="965"/>
    </row>
    <row r="20" spans="1:13" hidden="1">
      <c r="A20" s="966"/>
      <c r="B20" s="953"/>
      <c r="C20" s="954"/>
      <c r="D20" s="954"/>
      <c r="E20" s="954"/>
      <c r="F20" s="965"/>
    </row>
    <row r="21" spans="1:13" hidden="1">
      <c r="A21" s="966"/>
      <c r="B21" s="953"/>
      <c r="C21" s="954"/>
      <c r="D21" s="954"/>
      <c r="E21" s="954"/>
      <c r="F21" s="965"/>
    </row>
    <row r="22" spans="1:13" hidden="1">
      <c r="A22" s="966"/>
      <c r="B22" s="953"/>
      <c r="C22" s="954"/>
      <c r="D22" s="954"/>
      <c r="E22" s="954"/>
      <c r="F22" s="965"/>
    </row>
    <row r="23" spans="1:13">
      <c r="A23" s="70"/>
      <c r="B23" s="211" t="s">
        <v>228</v>
      </c>
      <c r="C23" s="64"/>
      <c r="D23" s="64"/>
      <c r="E23" s="64"/>
      <c r="F23" s="276">
        <f>SUM(F14:F22)</f>
        <v>0</v>
      </c>
    </row>
    <row r="24" spans="1:13">
      <c r="A24" s="70" t="s">
        <v>21</v>
      </c>
      <c r="B24" s="2395" t="s">
        <v>229</v>
      </c>
      <c r="C24" s="2395"/>
      <c r="D24" s="2395"/>
      <c r="E24" s="2395"/>
      <c r="F24" s="2502"/>
    </row>
    <row r="25" spans="1:13">
      <c r="A25" s="67" t="s">
        <v>22</v>
      </c>
      <c r="B25" s="967"/>
      <c r="C25" s="955"/>
      <c r="D25" s="360"/>
      <c r="E25" s="360"/>
      <c r="F25" s="356"/>
    </row>
    <row r="26" spans="1:13">
      <c r="A26" s="67" t="s">
        <v>23</v>
      </c>
      <c r="B26" s="953"/>
      <c r="C26" s="64"/>
      <c r="D26" s="279"/>
      <c r="E26" s="279"/>
      <c r="F26" s="356"/>
    </row>
    <row r="27" spans="1:13">
      <c r="A27" s="70"/>
      <c r="B27" s="968" t="s">
        <v>230</v>
      </c>
      <c r="C27" s="64"/>
      <c r="D27" s="279"/>
      <c r="E27" s="279"/>
      <c r="F27" s="969">
        <f>SUM(F25:F26)</f>
        <v>0</v>
      </c>
    </row>
    <row r="28" spans="1:13">
      <c r="A28" s="70" t="s">
        <v>27</v>
      </c>
      <c r="B28" s="970" t="s">
        <v>231</v>
      </c>
      <c r="C28" s="210"/>
      <c r="D28" s="210"/>
      <c r="E28" s="210"/>
      <c r="F28" s="971"/>
    </row>
    <row r="29" spans="1:13">
      <c r="A29" s="70" t="s">
        <v>30</v>
      </c>
      <c r="B29" s="2395" t="s">
        <v>75</v>
      </c>
      <c r="C29" s="2395"/>
      <c r="D29" s="2395"/>
      <c r="E29" s="2395"/>
      <c r="F29" s="2502"/>
    </row>
    <row r="30" spans="1:13">
      <c r="A30" s="67" t="s">
        <v>78</v>
      </c>
      <c r="B30" s="229"/>
      <c r="C30" s="955"/>
      <c r="D30" s="229"/>
      <c r="E30" s="229"/>
      <c r="F30" s="356"/>
    </row>
    <row r="31" spans="1:13">
      <c r="A31" s="67" t="s">
        <v>79</v>
      </c>
      <c r="B31" s="229"/>
      <c r="C31" s="955"/>
      <c r="D31" s="229"/>
      <c r="E31" s="229"/>
      <c r="F31" s="356"/>
    </row>
    <row r="32" spans="1:13">
      <c r="A32" s="70"/>
      <c r="B32" s="211" t="s">
        <v>83</v>
      </c>
      <c r="C32" s="64"/>
      <c r="D32" s="64"/>
      <c r="E32" s="64"/>
      <c r="F32" s="276">
        <f>F30+F31</f>
        <v>0</v>
      </c>
    </row>
    <row r="33" spans="1:6">
      <c r="A33" s="70" t="s">
        <v>10</v>
      </c>
      <c r="B33" s="2395" t="s">
        <v>232</v>
      </c>
      <c r="C33" s="2395"/>
      <c r="D33" s="2395"/>
      <c r="E33" s="2395"/>
      <c r="F33" s="2502"/>
    </row>
    <row r="34" spans="1:6">
      <c r="A34" s="212" t="s">
        <v>108</v>
      </c>
      <c r="B34" s="972"/>
      <c r="C34" s="973"/>
      <c r="D34" s="973"/>
      <c r="E34" s="65"/>
      <c r="F34" s="272"/>
    </row>
    <row r="35" spans="1:6">
      <c r="A35" s="67" t="s">
        <v>109</v>
      </c>
      <c r="B35" s="974"/>
      <c r="C35" s="973"/>
      <c r="D35" s="973"/>
      <c r="E35" s="65"/>
      <c r="F35" s="272"/>
    </row>
    <row r="36" spans="1:6">
      <c r="A36" s="67"/>
      <c r="B36" s="211" t="s">
        <v>233</v>
      </c>
      <c r="C36" s="973"/>
      <c r="D36" s="973"/>
      <c r="E36" s="65"/>
      <c r="F36" s="276">
        <f>SUM(F34:F35)</f>
        <v>0</v>
      </c>
    </row>
    <row r="37" spans="1:6">
      <c r="A37" s="70" t="s">
        <v>11</v>
      </c>
      <c r="B37" s="970" t="s">
        <v>687</v>
      </c>
      <c r="C37" s="210"/>
      <c r="D37" s="210"/>
      <c r="E37" s="210"/>
      <c r="F37" s="276"/>
    </row>
    <row r="38" spans="1:6">
      <c r="A38" s="966"/>
      <c r="B38" s="975" t="s">
        <v>234</v>
      </c>
      <c r="C38" s="976"/>
      <c r="D38" s="976"/>
      <c r="E38" s="976"/>
      <c r="F38" s="977"/>
    </row>
    <row r="39" spans="1:6">
      <c r="A39" s="964"/>
      <c r="B39" s="979" t="s">
        <v>688</v>
      </c>
      <c r="C39" s="976"/>
      <c r="D39" s="976"/>
      <c r="E39" s="976"/>
      <c r="F39" s="980"/>
    </row>
    <row r="40" spans="1:6">
      <c r="A40" s="964"/>
      <c r="B40" s="981" t="s">
        <v>197</v>
      </c>
      <c r="C40" s="954"/>
      <c r="D40" s="982"/>
      <c r="E40" s="982"/>
      <c r="F40" s="1702"/>
    </row>
    <row r="41" spans="1:6" ht="15.75" thickBot="1">
      <c r="A41" s="983"/>
      <c r="B41" s="984"/>
      <c r="C41" s="985"/>
      <c r="D41" s="984"/>
      <c r="E41" s="984"/>
      <c r="F41" s="986"/>
    </row>
    <row r="43" spans="1:6">
      <c r="B43" s="987"/>
      <c r="C43" s="1"/>
      <c r="D43" s="1"/>
      <c r="E43" s="1"/>
      <c r="F43" s="1"/>
    </row>
    <row r="44" spans="1:6">
      <c r="B44" s="987"/>
      <c r="C44" s="946"/>
      <c r="D44" s="104"/>
      <c r="E44" s="2284"/>
      <c r="F44" s="2284"/>
    </row>
    <row r="45" spans="1:6">
      <c r="B45" s="1"/>
      <c r="C45" s="77"/>
      <c r="D45" s="946" t="s">
        <v>682</v>
      </c>
      <c r="E45" s="946"/>
      <c r="F45" s="946"/>
    </row>
  </sheetData>
  <mergeCells count="15">
    <mergeCell ref="I16:J16"/>
    <mergeCell ref="L16:M16"/>
    <mergeCell ref="I17:J17"/>
    <mergeCell ref="L17:M17"/>
    <mergeCell ref="B24:F24"/>
    <mergeCell ref="B12:F12"/>
    <mergeCell ref="B29:F29"/>
    <mergeCell ref="B33:F33"/>
    <mergeCell ref="E44:F44"/>
    <mergeCell ref="D13:E13"/>
    <mergeCell ref="B1:F1"/>
    <mergeCell ref="G1:I1"/>
    <mergeCell ref="A3:F3"/>
    <mergeCell ref="A4:F4"/>
    <mergeCell ref="B8:F8"/>
  </mergeCells>
  <pageMargins left="0.74803149606299213" right="0.74803149606299213" top="0" bottom="0" header="0.51181102362204722" footer="0.51181102362204722"/>
  <pageSetup paperSize="9" scale="8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9"/>
  <sheetViews>
    <sheetView topLeftCell="A10" workbookViewId="0">
      <selection activeCell="P17" sqref="P17"/>
    </sheetView>
  </sheetViews>
  <sheetFormatPr defaultColWidth="9.140625" defaultRowHeight="15"/>
  <cols>
    <col min="1" max="1" width="5.85546875" style="77" customWidth="1"/>
    <col min="2" max="2" width="34.140625" style="77" customWidth="1"/>
    <col min="3" max="3" width="9.140625" style="76"/>
    <col min="4" max="4" width="15.5703125" style="77" customWidth="1"/>
    <col min="5" max="5" width="13.28515625" style="77" customWidth="1"/>
    <col min="6" max="6" width="18.85546875" style="77" customWidth="1"/>
    <col min="7" max="13" width="0" style="77" hidden="1" customWidth="1"/>
    <col min="14" max="16384" width="9.140625" style="77"/>
  </cols>
  <sheetData>
    <row r="1" spans="1:9" s="188" customFormat="1">
      <c r="B1" s="2283" t="s">
        <v>368</v>
      </c>
      <c r="C1" s="2283"/>
      <c r="D1" s="2283"/>
      <c r="E1" s="2283"/>
      <c r="F1" s="2283"/>
      <c r="G1" s="2283"/>
      <c r="H1" s="2283"/>
      <c r="I1" s="2283"/>
    </row>
    <row r="2" spans="1:9" s="188" customFormat="1">
      <c r="B2" s="429"/>
      <c r="C2" s="429"/>
      <c r="D2" s="429"/>
      <c r="E2" s="429"/>
      <c r="F2" s="429"/>
      <c r="G2" s="429"/>
      <c r="H2" s="429"/>
      <c r="I2" s="429"/>
    </row>
    <row r="3" spans="1:9">
      <c r="A3" s="2284" t="s">
        <v>370</v>
      </c>
      <c r="B3" s="2284"/>
      <c r="C3" s="2284"/>
      <c r="D3" s="2284"/>
      <c r="E3" s="2284"/>
      <c r="F3" s="2284"/>
    </row>
    <row r="4" spans="1:9" ht="18.95" customHeight="1">
      <c r="A4" s="2314" t="s">
        <v>235</v>
      </c>
      <c r="B4" s="2314"/>
      <c r="C4" s="2314"/>
      <c r="D4" s="2314"/>
      <c r="E4" s="2314"/>
      <c r="F4" s="2314"/>
    </row>
    <row r="5" spans="1:9" ht="18.95" customHeight="1" thickBot="1">
      <c r="A5" s="125"/>
      <c r="B5" s="125"/>
      <c r="C5" s="125"/>
      <c r="D5" s="125"/>
      <c r="E5" s="125"/>
      <c r="F5" s="177" t="s">
        <v>176</v>
      </c>
    </row>
    <row r="6" spans="1:9" ht="37.5" customHeight="1">
      <c r="A6" s="90" t="s">
        <v>14</v>
      </c>
      <c r="B6" s="91" t="s">
        <v>15</v>
      </c>
      <c r="C6" s="91" t="s">
        <v>2</v>
      </c>
      <c r="D6" s="91" t="s">
        <v>16</v>
      </c>
      <c r="E6" s="91" t="s">
        <v>32</v>
      </c>
      <c r="F6" s="92" t="s">
        <v>33</v>
      </c>
    </row>
    <row r="7" spans="1:9" ht="15" customHeight="1">
      <c r="A7" s="96">
        <v>1</v>
      </c>
      <c r="B7" s="97">
        <v>2</v>
      </c>
      <c r="C7" s="97">
        <v>3</v>
      </c>
      <c r="D7" s="97">
        <v>4</v>
      </c>
      <c r="E7" s="97">
        <v>5</v>
      </c>
      <c r="F7" s="98">
        <v>6</v>
      </c>
    </row>
    <row r="8" spans="1:9" ht="15" hidden="1" customHeight="1">
      <c r="A8" s="82" t="s">
        <v>4</v>
      </c>
      <c r="B8" s="2497" t="s">
        <v>236</v>
      </c>
      <c r="C8" s="2498"/>
      <c r="D8" s="2498"/>
      <c r="E8" s="2498"/>
      <c r="F8" s="2499"/>
    </row>
    <row r="9" spans="1:9" ht="18.95" customHeight="1">
      <c r="A9" s="83" t="s">
        <v>24</v>
      </c>
      <c r="B9" s="970" t="s">
        <v>689</v>
      </c>
      <c r="C9" s="955" t="s">
        <v>72</v>
      </c>
      <c r="D9" s="988"/>
      <c r="E9" s="989"/>
      <c r="F9" s="637">
        <f>ROUND(D9*E9,2)</f>
        <v>0</v>
      </c>
    </row>
    <row r="10" spans="1:9">
      <c r="A10" s="83"/>
      <c r="B10" s="210"/>
      <c r="C10" s="64"/>
      <c r="D10" s="65"/>
      <c r="E10" s="65"/>
      <c r="F10" s="1298"/>
    </row>
    <row r="11" spans="1:9">
      <c r="A11" s="83"/>
      <c r="B11" s="211" t="s">
        <v>81</v>
      </c>
      <c r="C11" s="64"/>
      <c r="D11" s="65"/>
      <c r="E11" s="65"/>
      <c r="F11" s="271">
        <f>F9</f>
        <v>0</v>
      </c>
    </row>
    <row r="12" spans="1:9">
      <c r="A12" s="84" t="s">
        <v>5</v>
      </c>
      <c r="B12" s="2497" t="s">
        <v>202</v>
      </c>
      <c r="C12" s="2498"/>
      <c r="D12" s="2498"/>
      <c r="E12" s="2498"/>
      <c r="F12" s="2499"/>
    </row>
    <row r="13" spans="1:9">
      <c r="A13" s="83" t="s">
        <v>18</v>
      </c>
      <c r="B13" s="215" t="s">
        <v>328</v>
      </c>
      <c r="C13" s="64" t="s">
        <v>84</v>
      </c>
      <c r="D13" s="397"/>
      <c r="E13" s="279"/>
      <c r="F13" s="272">
        <f>ROUND(D13*E13,2)</f>
        <v>0</v>
      </c>
    </row>
    <row r="14" spans="1:9">
      <c r="A14" s="83"/>
      <c r="B14" s="210"/>
      <c r="C14" s="64"/>
      <c r="D14" s="65"/>
      <c r="E14" s="65"/>
      <c r="F14" s="66"/>
    </row>
    <row r="15" spans="1:9">
      <c r="A15" s="84"/>
      <c r="B15" s="211" t="s">
        <v>228</v>
      </c>
      <c r="C15" s="64"/>
      <c r="D15" s="65"/>
      <c r="E15" s="65"/>
      <c r="F15" s="66"/>
    </row>
    <row r="16" spans="1:9">
      <c r="A16" s="84" t="s">
        <v>21</v>
      </c>
      <c r="B16" s="210" t="s">
        <v>231</v>
      </c>
      <c r="C16" s="64" t="s">
        <v>69</v>
      </c>
      <c r="D16" s="65"/>
      <c r="E16" s="279"/>
      <c r="F16" s="272">
        <f>ROUND(D16*E16,2)</f>
        <v>0</v>
      </c>
    </row>
    <row r="17" spans="1:13">
      <c r="A17" s="84" t="s">
        <v>27</v>
      </c>
      <c r="B17" s="210" t="s">
        <v>237</v>
      </c>
      <c r="C17" s="64" t="s">
        <v>98</v>
      </c>
      <c r="D17" s="65">
        <f>1.7*D9</f>
        <v>0</v>
      </c>
      <c r="E17" s="990"/>
      <c r="F17" s="272">
        <f>D17*E17</f>
        <v>0</v>
      </c>
    </row>
    <row r="18" spans="1:13">
      <c r="A18" s="216" t="s">
        <v>30</v>
      </c>
      <c r="B18" s="217" t="s">
        <v>329</v>
      </c>
      <c r="C18" s="64" t="s">
        <v>238</v>
      </c>
      <c r="D18" s="65">
        <f>D17/8</f>
        <v>0</v>
      </c>
      <c r="E18" s="990">
        <f>50/35*'№1,6 Мобил., демоб  БУ'!L33*2+15*'№1,6 Мобил., демоб  БУ'!P33*2</f>
        <v>0</v>
      </c>
      <c r="F18" s="272">
        <f>D18*E18</f>
        <v>0</v>
      </c>
    </row>
    <row r="19" spans="1:13">
      <c r="A19" s="83"/>
      <c r="B19" s="210" t="s">
        <v>234</v>
      </c>
      <c r="C19" s="64"/>
      <c r="D19" s="65"/>
      <c r="E19" s="65"/>
      <c r="F19" s="395">
        <f>F11+F13+F16+F17+F18</f>
        <v>0</v>
      </c>
    </row>
    <row r="20" spans="1:13" ht="28.5">
      <c r="A20" s="83"/>
      <c r="B20" s="210" t="s">
        <v>239</v>
      </c>
      <c r="C20" s="64"/>
      <c r="D20" s="65"/>
      <c r="E20" s="65"/>
      <c r="F20" s="356">
        <v>0.57999999999999996</v>
      </c>
    </row>
    <row r="21" spans="1:13" ht="42.75">
      <c r="A21" s="83"/>
      <c r="B21" s="210" t="s">
        <v>240</v>
      </c>
      <c r="C21" s="64"/>
      <c r="D21" s="65"/>
      <c r="E21" s="65"/>
      <c r="F21" s="460"/>
    </row>
    <row r="22" spans="1:13">
      <c r="A22" s="218"/>
      <c r="B22" s="219" t="s">
        <v>196</v>
      </c>
      <c r="C22" s="220"/>
      <c r="D22" s="94"/>
      <c r="E22" s="94"/>
      <c r="F22" s="396">
        <f>F21</f>
        <v>0</v>
      </c>
    </row>
    <row r="23" spans="1:13" ht="15.75" thickBot="1">
      <c r="A23" s="213"/>
      <c r="B23" s="214" t="s">
        <v>197</v>
      </c>
      <c r="C23" s="336" t="s">
        <v>62</v>
      </c>
      <c r="D23" s="337">
        <f>'№8.1.9 Содержание БО'!D40</f>
        <v>0</v>
      </c>
      <c r="E23" s="183"/>
      <c r="F23" s="354">
        <f>F22*D23</f>
        <v>0</v>
      </c>
    </row>
    <row r="24" spans="1:13">
      <c r="A24" s="88"/>
    </row>
    <row r="25" spans="1:13">
      <c r="A25" s="88"/>
    </row>
    <row r="26" spans="1:13">
      <c r="A26" s="88"/>
    </row>
    <row r="27" spans="1:13">
      <c r="A27" s="88"/>
    </row>
    <row r="28" spans="1:13" ht="43.5" customHeight="1">
      <c r="B28" s="259"/>
      <c r="C28" s="184"/>
      <c r="D28" s="185"/>
      <c r="E28" s="117"/>
      <c r="F28" s="259"/>
      <c r="G28" s="116"/>
      <c r="I28" s="2327"/>
      <c r="J28" s="2327"/>
      <c r="K28" s="108"/>
      <c r="L28" s="2327"/>
      <c r="M28" s="2327"/>
    </row>
    <row r="29" spans="1:13">
      <c r="B29" s="118" t="s">
        <v>126</v>
      </c>
      <c r="C29" s="117"/>
      <c r="D29" s="139" t="s">
        <v>124</v>
      </c>
      <c r="E29" s="117"/>
      <c r="F29" s="76" t="s">
        <v>204</v>
      </c>
      <c r="G29" s="119" t="s">
        <v>127</v>
      </c>
      <c r="I29" s="2327"/>
      <c r="J29" s="2327"/>
      <c r="K29" s="108"/>
      <c r="L29" s="2462"/>
      <c r="M29" s="2462"/>
    </row>
  </sheetData>
  <mergeCells count="10">
    <mergeCell ref="L29:M29"/>
    <mergeCell ref="B8:F8"/>
    <mergeCell ref="B12:F12"/>
    <mergeCell ref="I28:J28"/>
    <mergeCell ref="L28:M28"/>
    <mergeCell ref="B1:F1"/>
    <mergeCell ref="G1:I1"/>
    <mergeCell ref="A3:F3"/>
    <mergeCell ref="A4:F4"/>
    <mergeCell ref="I29:J29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20"/>
  <sheetViews>
    <sheetView zoomScaleNormal="100" workbookViewId="0">
      <selection activeCell="G18" sqref="B18:G18"/>
    </sheetView>
  </sheetViews>
  <sheetFormatPr defaultColWidth="9.140625" defaultRowHeight="15"/>
  <cols>
    <col min="1" max="1" width="5.85546875" style="76" customWidth="1"/>
    <col min="2" max="2" width="27" style="77" customWidth="1"/>
    <col min="3" max="3" width="13.7109375" style="76" customWidth="1"/>
    <col min="4" max="4" width="15.85546875" style="77" customWidth="1"/>
    <col min="5" max="5" width="12.85546875" style="77" customWidth="1"/>
    <col min="6" max="6" width="11.85546875" style="77" customWidth="1"/>
    <col min="7" max="7" width="15.85546875" style="77" customWidth="1"/>
    <col min="8" max="8" width="1.85546875" style="77" hidden="1" customWidth="1"/>
    <col min="9" max="11" width="0" style="77" hidden="1" customWidth="1"/>
    <col min="12" max="12" width="0.42578125" style="77" hidden="1" customWidth="1"/>
    <col min="13" max="13" width="0.85546875" style="77" hidden="1" customWidth="1"/>
    <col min="14" max="16384" width="9.140625" style="77"/>
  </cols>
  <sheetData>
    <row r="1" spans="1:9" s="188" customFormat="1">
      <c r="C1" s="2283" t="s">
        <v>371</v>
      </c>
      <c r="D1" s="2283"/>
      <c r="E1" s="2283"/>
      <c r="F1" s="2283"/>
      <c r="G1" s="2283"/>
      <c r="H1" s="120"/>
      <c r="I1" s="120"/>
    </row>
    <row r="2" spans="1:9" s="188" customFormat="1">
      <c r="A2" s="209"/>
      <c r="D2" s="120"/>
      <c r="E2" s="120"/>
      <c r="F2" s="120"/>
      <c r="G2" s="429"/>
    </row>
    <row r="3" spans="1:9">
      <c r="A3" s="2284" t="s">
        <v>372</v>
      </c>
      <c r="B3" s="2284"/>
      <c r="C3" s="2284"/>
      <c r="D3" s="2284"/>
      <c r="E3" s="2284"/>
      <c r="F3" s="2284"/>
      <c r="G3" s="2284"/>
    </row>
    <row r="4" spans="1:9" ht="18.95" customHeight="1">
      <c r="A4" s="2314" t="s">
        <v>241</v>
      </c>
      <c r="B4" s="2314"/>
      <c r="C4" s="2314"/>
      <c r="D4" s="2314"/>
      <c r="E4" s="2314"/>
      <c r="F4" s="2314"/>
      <c r="G4" s="2314"/>
    </row>
    <row r="5" spans="1:9" ht="18.95" customHeight="1">
      <c r="A5" s="125"/>
      <c r="B5" s="125"/>
      <c r="C5" s="125"/>
      <c r="D5" s="125"/>
      <c r="E5" s="125"/>
    </row>
    <row r="6" spans="1:9" ht="18.95" customHeight="1">
      <c r="A6" s="2505" t="s">
        <v>690</v>
      </c>
      <c r="B6" s="2505"/>
      <c r="C6" s="991">
        <f>'№ 8.1  ННС 21'!F19</f>
        <v>0</v>
      </c>
      <c r="D6" s="125"/>
      <c r="E6" s="125"/>
    </row>
    <row r="7" spans="1:9" ht="18.95" customHeight="1" thickBot="1">
      <c r="A7" s="221"/>
      <c r="B7" s="221"/>
      <c r="C7" s="222"/>
      <c r="D7" s="125"/>
      <c r="E7" s="125"/>
      <c r="G7" s="177" t="s">
        <v>176</v>
      </c>
    </row>
    <row r="8" spans="1:9" ht="72.95" customHeight="1">
      <c r="A8" s="90" t="s">
        <v>14</v>
      </c>
      <c r="B8" s="91" t="s">
        <v>242</v>
      </c>
      <c r="C8" s="91" t="s">
        <v>243</v>
      </c>
      <c r="D8" s="91" t="s">
        <v>244</v>
      </c>
      <c r="E8" s="91" t="s">
        <v>245</v>
      </c>
      <c r="F8" s="91" t="s">
        <v>246</v>
      </c>
      <c r="G8" s="92" t="s">
        <v>247</v>
      </c>
    </row>
    <row r="9" spans="1:9" ht="15" customHeight="1">
      <c r="A9" s="79">
        <v>1</v>
      </c>
      <c r="B9" s="80">
        <v>2</v>
      </c>
      <c r="C9" s="80">
        <v>3</v>
      </c>
      <c r="D9" s="80">
        <v>4</v>
      </c>
      <c r="E9" s="80">
        <v>5</v>
      </c>
      <c r="F9" s="80">
        <v>6</v>
      </c>
      <c r="G9" s="81">
        <v>7</v>
      </c>
    </row>
    <row r="10" spans="1:9">
      <c r="A10" s="186"/>
      <c r="B10" s="210" t="s">
        <v>1239</v>
      </c>
      <c r="C10" s="223"/>
      <c r="D10" s="65"/>
      <c r="E10" s="1772"/>
      <c r="F10" s="95"/>
      <c r="G10" s="1773">
        <f>E10*F10</f>
        <v>0</v>
      </c>
    </row>
    <row r="11" spans="1:9">
      <c r="A11" s="67"/>
      <c r="B11" s="210" t="s">
        <v>248</v>
      </c>
      <c r="C11" s="223"/>
      <c r="D11" s="65"/>
      <c r="E11" s="992"/>
      <c r="F11" s="65"/>
      <c r="G11" s="993">
        <f>SUM(G10:G10)</f>
        <v>0</v>
      </c>
    </row>
    <row r="12" spans="1:9">
      <c r="A12" s="224"/>
      <c r="B12" s="219" t="s">
        <v>196</v>
      </c>
      <c r="C12" s="225"/>
      <c r="D12" s="94"/>
      <c r="E12" s="226"/>
      <c r="F12" s="94"/>
      <c r="G12" s="994">
        <f>G11</f>
        <v>0</v>
      </c>
    </row>
    <row r="13" spans="1:9" ht="15.75" thickBot="1">
      <c r="A13" s="213"/>
      <c r="B13" s="214" t="s">
        <v>197</v>
      </c>
      <c r="C13" s="917">
        <f>'№ 8.1.10 Пароводоснабжение'!D23</f>
        <v>0</v>
      </c>
      <c r="D13" s="183"/>
      <c r="E13" s="227"/>
      <c r="F13" s="183"/>
      <c r="G13" s="187">
        <f>G12*C13</f>
        <v>0</v>
      </c>
    </row>
    <row r="14" spans="1:9">
      <c r="A14" s="78"/>
    </row>
    <row r="15" spans="1:9">
      <c r="A15" s="78"/>
    </row>
    <row r="16" spans="1:9">
      <c r="A16" s="78"/>
    </row>
    <row r="17" spans="1:18">
      <c r="A17" s="78"/>
    </row>
    <row r="18" spans="1:18">
      <c r="A18" s="77"/>
      <c r="B18" s="259"/>
      <c r="C18" s="27"/>
      <c r="D18" s="2329"/>
      <c r="E18" s="2329"/>
      <c r="F18" s="27"/>
      <c r="G18" s="185"/>
      <c r="I18" s="2327"/>
      <c r="J18" s="2327"/>
      <c r="K18" s="108"/>
      <c r="L18" s="2327"/>
      <c r="M18" s="2327"/>
    </row>
    <row r="19" spans="1:18">
      <c r="A19" s="77"/>
      <c r="B19" s="118" t="s">
        <v>126</v>
      </c>
      <c r="C19" s="77"/>
      <c r="D19" s="2480" t="s">
        <v>124</v>
      </c>
      <c r="E19" s="2480"/>
      <c r="G19" s="119" t="s">
        <v>127</v>
      </c>
      <c r="I19" s="2327"/>
      <c r="J19" s="2327"/>
      <c r="K19" s="108"/>
      <c r="L19" s="2462"/>
      <c r="M19" s="2462"/>
    </row>
    <row r="20" spans="1:18" s="141" customFormat="1">
      <c r="I20" s="142"/>
      <c r="J20" s="142"/>
      <c r="K20" s="142"/>
      <c r="L20" s="142"/>
      <c r="M20" s="142"/>
      <c r="N20" s="142"/>
      <c r="O20" s="142"/>
      <c r="P20" s="142"/>
      <c r="Q20" s="142"/>
      <c r="R20" s="142"/>
    </row>
  </sheetData>
  <mergeCells count="10">
    <mergeCell ref="A6:B6"/>
    <mergeCell ref="C1:G1"/>
    <mergeCell ref="A3:G3"/>
    <mergeCell ref="L18:M18"/>
    <mergeCell ref="I19:J19"/>
    <mergeCell ref="L19:M19"/>
    <mergeCell ref="D19:E19"/>
    <mergeCell ref="A4:G4"/>
    <mergeCell ref="D18:E18"/>
    <mergeCell ref="I18:J18"/>
  </mergeCells>
  <phoneticPr fontId="17" type="noConversion"/>
  <pageMargins left="0.47244094488188981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32"/>
  <sheetViews>
    <sheetView topLeftCell="B10" zoomScaleNormal="100" workbookViewId="0">
      <selection activeCell="D31" sqref="D31:E31"/>
    </sheetView>
  </sheetViews>
  <sheetFormatPr defaultColWidth="9.140625" defaultRowHeight="15"/>
  <cols>
    <col min="1" max="1" width="5.85546875" style="76" customWidth="1"/>
    <col min="2" max="2" width="34.140625" style="77" customWidth="1"/>
    <col min="3" max="3" width="19.140625" style="77" customWidth="1"/>
    <col min="4" max="4" width="13" style="76" customWidth="1"/>
    <col min="5" max="5" width="12.7109375" style="77" customWidth="1"/>
    <col min="6" max="6" width="13.28515625" style="77" customWidth="1"/>
    <col min="7" max="7" width="11.85546875" style="77" customWidth="1"/>
    <col min="8" max="8" width="16.28515625" style="77" customWidth="1"/>
    <col min="9" max="9" width="12.85546875" style="77" customWidth="1"/>
    <col min="10" max="11" width="10" style="77" customWidth="1"/>
    <col min="12" max="12" width="10.5703125" style="77" customWidth="1"/>
    <col min="13" max="13" width="11.7109375" style="77" customWidth="1"/>
    <col min="14" max="14" width="14.7109375" style="77" customWidth="1"/>
    <col min="15" max="15" width="18.5703125" style="76" customWidth="1"/>
    <col min="16" max="16" width="14.7109375" style="77" customWidth="1"/>
    <col min="17" max="19" width="0" style="77" hidden="1" customWidth="1"/>
    <col min="20" max="20" width="9.140625" style="77"/>
    <col min="21" max="21" width="11.7109375" style="77" bestFit="1" customWidth="1"/>
    <col min="22" max="22" width="13.28515625" style="77" customWidth="1"/>
    <col min="23" max="23" width="9.140625" style="77"/>
    <col min="24" max="24" width="12.85546875" style="77" customWidth="1"/>
    <col min="25" max="16384" width="9.140625" style="77"/>
  </cols>
  <sheetData>
    <row r="1" spans="1:24" s="188" customFormat="1">
      <c r="A1" s="209"/>
      <c r="E1" s="120"/>
      <c r="F1" s="120"/>
      <c r="G1" s="120"/>
      <c r="H1" s="120"/>
      <c r="I1" s="120"/>
      <c r="J1" s="120"/>
      <c r="K1" s="2283" t="s">
        <v>371</v>
      </c>
      <c r="L1" s="2283"/>
      <c r="M1" s="2283"/>
      <c r="N1" s="2283"/>
      <c r="O1" s="2283"/>
    </row>
    <row r="2" spans="1:24" s="188" customFormat="1">
      <c r="A2" s="209"/>
      <c r="E2" s="120"/>
      <c r="F2" s="120"/>
      <c r="G2" s="120"/>
      <c r="H2" s="429"/>
      <c r="I2" s="429"/>
      <c r="J2" s="429"/>
      <c r="K2" s="429"/>
      <c r="L2" s="429"/>
      <c r="M2" s="429"/>
      <c r="N2" s="429"/>
      <c r="O2" s="429"/>
    </row>
    <row r="3" spans="1:24">
      <c r="A3" s="2284" t="s">
        <v>373</v>
      </c>
      <c r="B3" s="2284"/>
      <c r="C3" s="2284"/>
      <c r="D3" s="2284"/>
      <c r="E3" s="2284"/>
      <c r="F3" s="2284"/>
      <c r="G3" s="2284"/>
      <c r="H3" s="2284"/>
      <c r="I3" s="2284"/>
      <c r="J3" s="2284"/>
      <c r="K3" s="2284"/>
      <c r="L3" s="2284"/>
      <c r="M3" s="2284"/>
      <c r="N3" s="2284"/>
      <c r="O3" s="2284"/>
    </row>
    <row r="4" spans="1:24" ht="18.95" customHeight="1">
      <c r="A4" s="2518" t="s">
        <v>249</v>
      </c>
      <c r="B4" s="2518"/>
      <c r="C4" s="2518"/>
      <c r="D4" s="2518"/>
      <c r="E4" s="2518"/>
      <c r="F4" s="2518"/>
      <c r="G4" s="2518"/>
      <c r="H4" s="2518"/>
      <c r="I4" s="2518"/>
      <c r="J4" s="2518"/>
      <c r="K4" s="2518"/>
      <c r="L4" s="2518"/>
      <c r="M4" s="2518"/>
      <c r="N4" s="2518"/>
      <c r="O4" s="2518"/>
    </row>
    <row r="5" spans="1:24" ht="18.95" customHeight="1" thickBot="1">
      <c r="A5" s="228"/>
      <c r="B5" s="228"/>
      <c r="C5" s="228"/>
      <c r="D5" s="228"/>
      <c r="E5" s="228"/>
      <c r="F5" s="228"/>
      <c r="G5" s="382">
        <f>'№ 8.1  ННС 21'!F19</f>
        <v>0</v>
      </c>
      <c r="H5" s="221" t="s">
        <v>62</v>
      </c>
      <c r="I5" s="228"/>
      <c r="J5" s="228"/>
      <c r="K5" s="228"/>
      <c r="L5" s="228"/>
      <c r="M5" s="228"/>
      <c r="N5" s="2520" t="s">
        <v>176</v>
      </c>
      <c r="O5" s="2520"/>
    </row>
    <row r="6" spans="1:24">
      <c r="A6" s="2521" t="s">
        <v>14</v>
      </c>
      <c r="B6" s="2508" t="s">
        <v>250</v>
      </c>
      <c r="C6" s="2508" t="s">
        <v>206</v>
      </c>
      <c r="D6" s="2508" t="s">
        <v>251</v>
      </c>
      <c r="E6" s="2508" t="s">
        <v>252</v>
      </c>
      <c r="F6" s="2508" t="s">
        <v>253</v>
      </c>
      <c r="G6" s="2508" t="s">
        <v>254</v>
      </c>
      <c r="H6" s="2508" t="s">
        <v>255</v>
      </c>
      <c r="I6" s="2508" t="s">
        <v>256</v>
      </c>
      <c r="J6" s="2508" t="s">
        <v>257</v>
      </c>
      <c r="K6" s="2508" t="s">
        <v>258</v>
      </c>
      <c r="L6" s="2508"/>
      <c r="M6" s="2508" t="s">
        <v>259</v>
      </c>
      <c r="N6" s="2508"/>
      <c r="O6" s="2519"/>
    </row>
    <row r="7" spans="1:24" ht="27" customHeight="1">
      <c r="A7" s="2522"/>
      <c r="B7" s="2509"/>
      <c r="C7" s="2509"/>
      <c r="D7" s="2509"/>
      <c r="E7" s="2509"/>
      <c r="F7" s="2509"/>
      <c r="G7" s="2509"/>
      <c r="H7" s="2509"/>
      <c r="I7" s="2509"/>
      <c r="J7" s="2509"/>
      <c r="K7" s="80" t="s">
        <v>260</v>
      </c>
      <c r="L7" s="80" t="s">
        <v>261</v>
      </c>
      <c r="M7" s="80" t="s">
        <v>262</v>
      </c>
      <c r="N7" s="80" t="s">
        <v>263</v>
      </c>
      <c r="O7" s="81" t="s">
        <v>264</v>
      </c>
    </row>
    <row r="8" spans="1:24" ht="15" customHeight="1">
      <c r="A8" s="79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  <c r="O8" s="81">
        <v>15</v>
      </c>
    </row>
    <row r="9" spans="1:24" s="374" customFormat="1">
      <c r="A9" s="373" t="s">
        <v>4</v>
      </c>
      <c r="B9" s="210" t="s">
        <v>691</v>
      </c>
      <c r="C9" s="995"/>
      <c r="D9" s="955"/>
      <c r="E9" s="996"/>
      <c r="F9" s="996"/>
      <c r="G9" s="996"/>
      <c r="H9" s="996"/>
      <c r="I9" s="997"/>
      <c r="J9" s="988"/>
      <c r="K9" s="988"/>
      <c r="L9" s="988"/>
      <c r="M9" s="997"/>
      <c r="N9" s="997"/>
      <c r="O9" s="998"/>
      <c r="P9" s="512"/>
      <c r="Q9" s="77"/>
      <c r="R9" s="77"/>
      <c r="S9" s="77"/>
      <c r="T9" s="1001"/>
      <c r="U9" s="1001"/>
      <c r="V9" s="1001"/>
      <c r="X9" s="605"/>
    </row>
    <row r="10" spans="1:24" s="374" customFormat="1">
      <c r="A10" s="373"/>
      <c r="B10" s="999"/>
      <c r="C10" s="1070"/>
      <c r="D10" s="1000"/>
      <c r="E10" s="996"/>
      <c r="F10" s="996"/>
      <c r="G10" s="996"/>
      <c r="H10" s="996"/>
      <c r="I10" s="997"/>
      <c r="J10" s="988"/>
      <c r="K10" s="988"/>
      <c r="L10" s="988"/>
      <c r="M10" s="997"/>
      <c r="N10" s="997"/>
      <c r="O10" s="998"/>
      <c r="P10" s="512"/>
      <c r="Q10" s="77"/>
      <c r="R10" s="77"/>
      <c r="S10" s="77"/>
      <c r="T10" s="76"/>
      <c r="U10" s="77"/>
      <c r="V10" s="114"/>
      <c r="X10" s="605"/>
    </row>
    <row r="11" spans="1:24" s="254" customFormat="1">
      <c r="A11" s="71"/>
      <c r="B11" s="2510" t="s">
        <v>322</v>
      </c>
      <c r="C11" s="2510"/>
      <c r="D11" s="2510"/>
      <c r="E11" s="2510"/>
      <c r="F11" s="2510"/>
      <c r="G11" s="2510"/>
      <c r="H11" s="2510"/>
      <c r="I11" s="2510"/>
      <c r="J11" s="2510"/>
      <c r="K11" s="2510"/>
      <c r="L11" s="2510"/>
      <c r="M11" s="2510"/>
      <c r="N11" s="2510"/>
      <c r="O11" s="468"/>
      <c r="P11" s="512"/>
      <c r="Q11" s="77"/>
      <c r="R11" s="77"/>
      <c r="S11" s="77"/>
      <c r="T11" s="76"/>
      <c r="U11" s="77"/>
      <c r="V11" s="114"/>
      <c r="X11" s="605"/>
    </row>
    <row r="12" spans="1:24" s="254" customFormat="1">
      <c r="A12" s="71" t="s">
        <v>5</v>
      </c>
      <c r="B12" s="467" t="s">
        <v>128</v>
      </c>
      <c r="C12" s="369"/>
      <c r="D12" s="369"/>
      <c r="E12" s="996"/>
      <c r="F12" s="1002"/>
      <c r="G12" s="996"/>
      <c r="H12" s="996"/>
      <c r="I12" s="996"/>
      <c r="J12" s="988"/>
      <c r="K12" s="1003"/>
      <c r="L12" s="1003"/>
      <c r="M12" s="996"/>
      <c r="N12" s="996"/>
      <c r="O12" s="998"/>
      <c r="P12" s="512"/>
      <c r="Q12" s="77"/>
      <c r="R12" s="77"/>
      <c r="S12" s="77"/>
      <c r="U12" s="77"/>
      <c r="V12" s="114"/>
      <c r="X12" s="605"/>
    </row>
    <row r="13" spans="1:24" s="254" customFormat="1">
      <c r="A13" s="71"/>
      <c r="B13" s="2510" t="s">
        <v>265</v>
      </c>
      <c r="C13" s="2510"/>
      <c r="D13" s="2510"/>
      <c r="E13" s="2510"/>
      <c r="F13" s="2510"/>
      <c r="G13" s="2510"/>
      <c r="H13" s="2510"/>
      <c r="I13" s="2510"/>
      <c r="J13" s="2510"/>
      <c r="K13" s="2510"/>
      <c r="L13" s="2510"/>
      <c r="M13" s="2510"/>
      <c r="N13" s="2510"/>
      <c r="O13" s="468"/>
      <c r="P13" s="512"/>
      <c r="Q13" s="77"/>
      <c r="R13" s="77"/>
      <c r="S13" s="77"/>
      <c r="V13" s="114"/>
      <c r="X13" s="605"/>
    </row>
    <row r="14" spans="1:24" s="254" customFormat="1">
      <c r="A14" s="71" t="s">
        <v>21</v>
      </c>
      <c r="B14" s="2511" t="s">
        <v>117</v>
      </c>
      <c r="C14" s="2511"/>
      <c r="D14" s="2511"/>
      <c r="E14" s="2511"/>
      <c r="F14" s="2511"/>
      <c r="G14" s="2511"/>
      <c r="H14" s="2511"/>
      <c r="I14" s="2511"/>
      <c r="J14" s="2511"/>
      <c r="K14" s="2511"/>
      <c r="L14" s="2511"/>
      <c r="M14" s="2511"/>
      <c r="N14" s="2511"/>
      <c r="O14" s="2512"/>
      <c r="P14" s="77"/>
      <c r="Q14" s="77"/>
      <c r="R14" s="77"/>
      <c r="S14" s="77"/>
      <c r="T14" s="76"/>
      <c r="U14" s="266"/>
      <c r="V14" s="77"/>
      <c r="W14" s="606"/>
      <c r="X14" s="606"/>
    </row>
    <row r="15" spans="1:24" s="254" customFormat="1" ht="28.5" customHeight="1">
      <c r="A15" s="71"/>
      <c r="B15" s="469" t="s">
        <v>266</v>
      </c>
      <c r="C15" s="2513"/>
      <c r="D15" s="2513"/>
      <c r="E15" s="2513"/>
      <c r="F15" s="2513"/>
      <c r="G15" s="2513"/>
      <c r="H15" s="2513"/>
      <c r="I15" s="2513"/>
      <c r="J15" s="2513"/>
      <c r="K15" s="2513"/>
      <c r="L15" s="2513"/>
      <c r="M15" s="2513"/>
      <c r="N15" s="2513"/>
      <c r="O15" s="2514"/>
      <c r="P15" s="77"/>
      <c r="Q15" s="77"/>
      <c r="R15" s="77"/>
      <c r="S15" s="77"/>
      <c r="T15" s="512"/>
      <c r="U15" s="512"/>
      <c r="V15" s="1246"/>
      <c r="X15" s="606"/>
    </row>
    <row r="16" spans="1:24" s="254" customFormat="1">
      <c r="A16" s="186" t="s">
        <v>22</v>
      </c>
      <c r="B16" s="371"/>
      <c r="C16" s="369"/>
      <c r="D16" s="470"/>
      <c r="E16" s="1163"/>
      <c r="F16" s="996"/>
      <c r="G16" s="1004"/>
      <c r="H16" s="996"/>
      <c r="I16" s="996"/>
      <c r="J16" s="1003"/>
      <c r="K16" s="1158"/>
      <c r="L16" s="1159"/>
      <c r="M16" s="471"/>
      <c r="N16" s="471"/>
      <c r="O16" s="472"/>
      <c r="P16" s="515"/>
      <c r="U16" s="512"/>
    </row>
    <row r="17" spans="1:21" s="254" customFormat="1" hidden="1">
      <c r="A17" s="186" t="s">
        <v>23</v>
      </c>
      <c r="B17" s="371"/>
      <c r="C17" s="369"/>
      <c r="D17" s="470"/>
      <c r="E17" s="296"/>
      <c r="F17" s="996"/>
      <c r="G17" s="1004"/>
      <c r="H17" s="996"/>
      <c r="I17" s="996"/>
      <c r="J17" s="1003"/>
      <c r="K17" s="1158"/>
      <c r="L17" s="1158"/>
      <c r="M17" s="471"/>
      <c r="N17" s="471"/>
      <c r="O17" s="472"/>
      <c r="P17" s="515"/>
      <c r="U17" s="512"/>
    </row>
    <row r="18" spans="1:21" s="374" customFormat="1">
      <c r="A18" s="459" t="s">
        <v>284</v>
      </c>
      <c r="B18" s="371"/>
      <c r="C18" s="369"/>
      <c r="D18" s="369"/>
      <c r="E18" s="1165"/>
      <c r="F18" s="996"/>
      <c r="G18" s="1004"/>
      <c r="H18" s="996"/>
      <c r="I18" s="996"/>
      <c r="J18" s="1003"/>
      <c r="K18" s="1160"/>
      <c r="L18" s="369"/>
      <c r="M18" s="471"/>
      <c r="N18" s="367"/>
      <c r="O18" s="368"/>
      <c r="P18" s="515"/>
      <c r="U18" s="512"/>
    </row>
    <row r="19" spans="1:21" s="374" customFormat="1">
      <c r="A19" s="459" t="s">
        <v>302</v>
      </c>
      <c r="B19" s="215"/>
      <c r="C19" s="955"/>
      <c r="D19" s="296"/>
      <c r="E19" s="996"/>
      <c r="F19" s="996"/>
      <c r="G19" s="1004"/>
      <c r="H19" s="996"/>
      <c r="I19" s="996"/>
      <c r="J19" s="1003"/>
      <c r="K19" s="1003"/>
      <c r="L19" s="1003"/>
      <c r="M19" s="638"/>
      <c r="N19" s="360"/>
      <c r="O19" s="978"/>
      <c r="P19" s="512"/>
      <c r="U19" s="512"/>
    </row>
    <row r="20" spans="1:21" s="374" customFormat="1">
      <c r="A20" s="459" t="s">
        <v>302</v>
      </c>
      <c r="B20" s="215"/>
      <c r="C20" s="955"/>
      <c r="D20" s="296"/>
      <c r="E20" s="996"/>
      <c r="F20" s="996"/>
      <c r="G20" s="1004"/>
      <c r="H20" s="996"/>
      <c r="I20" s="996"/>
      <c r="J20" s="1003"/>
      <c r="K20" s="1003"/>
      <c r="L20" s="1003"/>
      <c r="M20" s="638"/>
      <c r="N20" s="360"/>
      <c r="O20" s="978"/>
      <c r="P20" s="512"/>
      <c r="U20" s="512"/>
    </row>
    <row r="21" spans="1:21" s="374" customFormat="1">
      <c r="A21" s="459" t="s">
        <v>303</v>
      </c>
      <c r="B21" s="215"/>
      <c r="C21" s="955"/>
      <c r="D21" s="955"/>
      <c r="E21" s="996"/>
      <c r="F21" s="996"/>
      <c r="G21" s="1004"/>
      <c r="H21" s="996"/>
      <c r="I21" s="996"/>
      <c r="J21" s="1003"/>
      <c r="K21" s="1003"/>
      <c r="L21" s="1003"/>
      <c r="M21" s="638"/>
      <c r="N21" s="360"/>
      <c r="O21" s="978"/>
      <c r="P21" s="512"/>
      <c r="U21" s="512"/>
    </row>
    <row r="22" spans="1:21" s="374" customFormat="1">
      <c r="A22" s="459" t="s">
        <v>626</v>
      </c>
      <c r="B22" s="215"/>
      <c r="C22" s="955"/>
      <c r="D22" s="955"/>
      <c r="E22" s="996"/>
      <c r="F22" s="996"/>
      <c r="G22" s="1004"/>
      <c r="H22" s="996"/>
      <c r="I22" s="996"/>
      <c r="J22" s="1003"/>
      <c r="K22" s="1003"/>
      <c r="L22" s="1003"/>
      <c r="M22" s="638"/>
      <c r="N22" s="360"/>
      <c r="O22" s="978"/>
      <c r="P22" s="512"/>
      <c r="U22" s="512"/>
    </row>
    <row r="23" spans="1:21" s="374" customFormat="1">
      <c r="A23" s="459" t="s">
        <v>290</v>
      </c>
      <c r="B23" s="215"/>
      <c r="C23" s="1000"/>
      <c r="D23" s="408"/>
      <c r="E23" s="996"/>
      <c r="F23" s="1069"/>
      <c r="G23" s="1004"/>
      <c r="H23" s="996"/>
      <c r="I23" s="996"/>
      <c r="J23" s="1003"/>
      <c r="K23" s="1003"/>
      <c r="L23" s="1003"/>
      <c r="M23" s="471"/>
      <c r="N23" s="367"/>
      <c r="O23" s="978"/>
      <c r="P23" s="515"/>
      <c r="U23" s="512"/>
    </row>
    <row r="24" spans="1:21" s="254" customFormat="1">
      <c r="A24" s="71"/>
      <c r="B24" s="2510" t="s">
        <v>267</v>
      </c>
      <c r="C24" s="2510"/>
      <c r="D24" s="2510"/>
      <c r="E24" s="2510"/>
      <c r="F24" s="2510"/>
      <c r="G24" s="2510"/>
      <c r="H24" s="2510"/>
      <c r="I24" s="2510"/>
      <c r="J24" s="2510"/>
      <c r="K24" s="2510"/>
      <c r="L24" s="2510"/>
      <c r="M24" s="2510"/>
      <c r="N24" s="2510"/>
      <c r="O24" s="271">
        <f>SUM(O16:O23)</f>
        <v>0</v>
      </c>
      <c r="U24" s="512"/>
    </row>
    <row r="25" spans="1:21" s="254" customFormat="1">
      <c r="A25" s="71"/>
      <c r="B25" s="2515" t="s">
        <v>321</v>
      </c>
      <c r="C25" s="2515"/>
      <c r="D25" s="2515"/>
      <c r="E25" s="2515"/>
      <c r="F25" s="2515"/>
      <c r="G25" s="2515"/>
      <c r="H25" s="2515"/>
      <c r="I25" s="2515"/>
      <c r="J25" s="2515"/>
      <c r="K25" s="2515"/>
      <c r="L25" s="2515"/>
      <c r="M25" s="2515"/>
      <c r="N25" s="2515"/>
      <c r="O25" s="268"/>
      <c r="U25" s="512"/>
    </row>
    <row r="26" spans="1:21" s="254" customFormat="1">
      <c r="A26" s="71" t="s">
        <v>27</v>
      </c>
      <c r="B26" s="2395" t="s">
        <v>134</v>
      </c>
      <c r="C26" s="2395"/>
      <c r="D26" s="2395"/>
      <c r="E26" s="2395"/>
      <c r="F26" s="2395"/>
      <c r="G26" s="2395"/>
      <c r="H26" s="2395"/>
      <c r="I26" s="2395"/>
      <c r="J26" s="2395"/>
      <c r="K26" s="2395"/>
      <c r="L26" s="2395"/>
      <c r="M26" s="2395"/>
      <c r="N26" s="2395"/>
      <c r="O26" s="2502"/>
      <c r="U26" s="512"/>
    </row>
    <row r="27" spans="1:21" s="254" customFormat="1">
      <c r="A27" s="186" t="s">
        <v>28</v>
      </c>
      <c r="B27" s="371"/>
      <c r="C27" s="369"/>
      <c r="D27" s="370"/>
      <c r="E27" s="996"/>
      <c r="F27" s="996"/>
      <c r="G27" s="1004"/>
      <c r="H27" s="996"/>
      <c r="I27" s="996"/>
      <c r="J27" s="1003"/>
      <c r="K27" s="1003"/>
      <c r="L27" s="1003"/>
      <c r="M27" s="471"/>
      <c r="N27" s="367"/>
      <c r="O27" s="998">
        <f>SUM(M27+N27)</f>
        <v>0</v>
      </c>
      <c r="U27" s="512"/>
    </row>
    <row r="28" spans="1:21" s="254" customFormat="1">
      <c r="A28" s="186"/>
      <c r="B28" s="2515" t="s">
        <v>268</v>
      </c>
      <c r="C28" s="2515"/>
      <c r="D28" s="2515"/>
      <c r="E28" s="2515"/>
      <c r="F28" s="2515"/>
      <c r="G28" s="2515"/>
      <c r="H28" s="2515"/>
      <c r="I28" s="2515"/>
      <c r="J28" s="2515"/>
      <c r="K28" s="2515"/>
      <c r="L28" s="2515"/>
      <c r="M28" s="2515"/>
      <c r="N28" s="2515"/>
      <c r="O28" s="271">
        <f>O27</f>
        <v>0</v>
      </c>
      <c r="U28" s="512"/>
    </row>
    <row r="29" spans="1:21" s="254" customFormat="1" ht="15.75" thickBot="1">
      <c r="A29" s="1164"/>
      <c r="B29" s="2517" t="s">
        <v>269</v>
      </c>
      <c r="C29" s="2517"/>
      <c r="D29" s="2517"/>
      <c r="E29" s="2517"/>
      <c r="F29" s="2517"/>
      <c r="G29" s="2517"/>
      <c r="H29" s="2517"/>
      <c r="I29" s="2517"/>
      <c r="J29" s="2517"/>
      <c r="K29" s="2517"/>
      <c r="L29" s="2517"/>
      <c r="M29" s="2517"/>
      <c r="N29" s="2517"/>
      <c r="O29" s="372"/>
      <c r="U29" s="512"/>
    </row>
    <row r="30" spans="1:21">
      <c r="A30" s="78"/>
    </row>
    <row r="31" spans="1:21" s="613" customFormat="1" ht="55.5" customHeight="1">
      <c r="B31" s="614"/>
      <c r="D31" s="2516"/>
      <c r="E31" s="2516"/>
      <c r="G31" s="2507"/>
      <c r="H31" s="2507"/>
      <c r="I31" s="2506"/>
      <c r="J31" s="2506"/>
      <c r="K31" s="615"/>
      <c r="L31" s="2506"/>
      <c r="M31" s="2506"/>
      <c r="O31" s="616"/>
    </row>
    <row r="32" spans="1:21">
      <c r="A32" s="77"/>
      <c r="B32" s="118" t="s">
        <v>126</v>
      </c>
      <c r="D32" s="2480" t="s">
        <v>124</v>
      </c>
      <c r="E32" s="2480"/>
      <c r="G32" s="2472" t="s">
        <v>127</v>
      </c>
      <c r="H32" s="2472"/>
      <c r="I32" s="2327"/>
      <c r="J32" s="2327"/>
      <c r="K32" s="108"/>
      <c r="L32" s="2462"/>
      <c r="M32" s="2462"/>
    </row>
  </sheetData>
  <mergeCells count="33">
    <mergeCell ref="K1:O1"/>
    <mergeCell ref="A3:O3"/>
    <mergeCell ref="I6:I7"/>
    <mergeCell ref="G6:G7"/>
    <mergeCell ref="E6:E7"/>
    <mergeCell ref="K6:L6"/>
    <mergeCell ref="B6:B7"/>
    <mergeCell ref="C6:C7"/>
    <mergeCell ref="J6:J7"/>
    <mergeCell ref="A4:O4"/>
    <mergeCell ref="M6:O6"/>
    <mergeCell ref="F6:F7"/>
    <mergeCell ref="N5:O5"/>
    <mergeCell ref="A6:A7"/>
    <mergeCell ref="L32:M32"/>
    <mergeCell ref="D32:E32"/>
    <mergeCell ref="I31:J31"/>
    <mergeCell ref="G32:H32"/>
    <mergeCell ref="B28:N28"/>
    <mergeCell ref="I32:J32"/>
    <mergeCell ref="D31:E31"/>
    <mergeCell ref="B29:N29"/>
    <mergeCell ref="B26:O26"/>
    <mergeCell ref="L31:M31"/>
    <mergeCell ref="G31:H31"/>
    <mergeCell ref="D6:D7"/>
    <mergeCell ref="B11:N11"/>
    <mergeCell ref="B24:N24"/>
    <mergeCell ref="B14:O14"/>
    <mergeCell ref="H6:H7"/>
    <mergeCell ref="C15:O15"/>
    <mergeCell ref="B25:N25"/>
    <mergeCell ref="B13:N13"/>
  </mergeCells>
  <phoneticPr fontId="17" type="noConversion"/>
  <pageMargins left="0.70866141732283472" right="0.31496062992125984" top="0.98425196850393704" bottom="0.6692913385826772" header="0.51181102362204722" footer="0.51181102362204722"/>
  <pageSetup paperSize="9" scale="42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68"/>
  <sheetViews>
    <sheetView topLeftCell="A34" workbookViewId="0">
      <selection activeCell="A26" sqref="A26:H26"/>
    </sheetView>
  </sheetViews>
  <sheetFormatPr defaultRowHeight="15.75"/>
  <cols>
    <col min="1" max="1" width="4.7109375" style="1059" customWidth="1"/>
    <col min="2" max="2" width="37.7109375" customWidth="1"/>
    <col min="5" max="5" width="15" bestFit="1" customWidth="1"/>
    <col min="6" max="6" width="13.7109375" style="1063" customWidth="1"/>
    <col min="7" max="7" width="13.5703125" style="1063" customWidth="1"/>
    <col min="8" max="8" width="16.42578125" bestFit="1" customWidth="1"/>
  </cols>
  <sheetData>
    <row r="1" spans="1:9" ht="18.75">
      <c r="A1" s="2524"/>
      <c r="B1" s="2524"/>
      <c r="C1" s="2524"/>
      <c r="D1" s="2524"/>
      <c r="E1" s="2524"/>
      <c r="F1" s="2524"/>
      <c r="G1" s="2524"/>
      <c r="H1" s="2524"/>
    </row>
    <row r="2" spans="1:9" ht="18.75">
      <c r="A2" s="2524" t="s">
        <v>412</v>
      </c>
      <c r="B2" s="2524"/>
      <c r="C2" s="2524"/>
      <c r="D2" s="2524"/>
      <c r="E2" s="2524"/>
      <c r="F2" s="2524"/>
      <c r="G2" s="2524"/>
      <c r="H2" s="2524"/>
    </row>
    <row r="3" spans="1:9">
      <c r="A3" s="2525" t="s">
        <v>1300</v>
      </c>
      <c r="B3" s="2525"/>
      <c r="C3" s="2525"/>
      <c r="D3" s="2525"/>
      <c r="E3" s="2525"/>
      <c r="F3" s="2525"/>
      <c r="G3" s="2525"/>
      <c r="H3" s="2525"/>
      <c r="I3">
        <v>10</v>
      </c>
    </row>
    <row r="4" spans="1:9" ht="19.5" thickBot="1">
      <c r="A4" s="1009"/>
      <c r="B4" s="1010"/>
      <c r="C4" s="1011"/>
      <c r="D4" s="1011"/>
      <c r="E4" s="1011"/>
      <c r="F4" s="1012"/>
      <c r="G4" s="1012"/>
      <c r="H4" s="1013"/>
    </row>
    <row r="5" spans="1:9" ht="25.5" customHeight="1">
      <c r="A5" s="2526" t="s">
        <v>0</v>
      </c>
      <c r="B5" s="2528" t="s">
        <v>694</v>
      </c>
      <c r="C5" s="2528" t="s">
        <v>695</v>
      </c>
      <c r="D5" s="2530" t="s">
        <v>696</v>
      </c>
      <c r="E5" s="2530" t="s">
        <v>697</v>
      </c>
      <c r="F5" s="2532" t="s">
        <v>698</v>
      </c>
      <c r="G5" s="2534" t="s">
        <v>699</v>
      </c>
      <c r="H5" s="2536" t="s">
        <v>700</v>
      </c>
    </row>
    <row r="6" spans="1:9" ht="14.45" customHeight="1" thickBot="1">
      <c r="A6" s="2527"/>
      <c r="B6" s="2529"/>
      <c r="C6" s="2529"/>
      <c r="D6" s="2531"/>
      <c r="E6" s="2531"/>
      <c r="F6" s="2533"/>
      <c r="G6" s="2535"/>
      <c r="H6" s="2537"/>
    </row>
    <row r="7" spans="1:9" ht="12.75">
      <c r="A7" s="1014">
        <v>1</v>
      </c>
      <c r="B7" s="1015">
        <v>2</v>
      </c>
      <c r="C7" s="1015">
        <v>3</v>
      </c>
      <c r="D7" s="1016"/>
      <c r="E7" s="1016"/>
      <c r="F7" s="1017">
        <v>4</v>
      </c>
      <c r="G7" s="1018"/>
      <c r="H7" s="1019">
        <v>6</v>
      </c>
    </row>
    <row r="8" spans="1:9" s="1025" customFormat="1" ht="14.45" hidden="1" customHeight="1">
      <c r="A8" s="1020"/>
      <c r="B8" s="1021"/>
      <c r="C8" s="1022"/>
      <c r="D8" s="1022"/>
      <c r="E8" s="1022"/>
      <c r="F8" s="1023"/>
      <c r="G8" s="1023"/>
      <c r="H8" s="1024"/>
    </row>
    <row r="9" spans="1:9" s="1025" customFormat="1">
      <c r="A9" s="1026"/>
      <c r="B9" s="1027"/>
      <c r="C9" s="1028"/>
      <c r="D9" s="1022"/>
      <c r="E9" s="1029"/>
      <c r="F9" s="1023"/>
      <c r="G9" s="1023"/>
      <c r="H9" s="1950"/>
    </row>
    <row r="10" spans="1:9" s="1025" customFormat="1" ht="15.6" customHeight="1">
      <c r="A10" s="1026"/>
      <c r="B10" s="1027"/>
      <c r="C10" s="1031"/>
      <c r="D10" s="1029"/>
      <c r="E10" s="1032"/>
      <c r="F10" s="1032"/>
      <c r="G10" s="1703"/>
      <c r="H10" s="1951"/>
    </row>
    <row r="11" spans="1:9" s="1025" customFormat="1" ht="15">
      <c r="A11" s="1020"/>
      <c r="B11" s="1027"/>
      <c r="C11" s="1028"/>
      <c r="D11" s="1022"/>
      <c r="E11" s="1032"/>
      <c r="F11" s="1034"/>
      <c r="G11" s="1035"/>
      <c r="H11" s="1951"/>
    </row>
    <row r="12" spans="1:9" s="1025" customFormat="1" ht="15">
      <c r="A12" s="1036"/>
      <c r="B12" s="1037"/>
      <c r="C12" s="1038"/>
      <c r="D12" s="1039"/>
      <c r="E12" s="1022"/>
      <c r="F12" s="1704"/>
      <c r="G12" s="1704"/>
      <c r="H12" s="1951"/>
    </row>
    <row r="13" spans="1:9" s="1025" customFormat="1" ht="15">
      <c r="A13" s="1036"/>
      <c r="B13" s="1040" t="s">
        <v>195</v>
      </c>
      <c r="C13" s="1039"/>
      <c r="D13" s="1039"/>
      <c r="E13" s="1039"/>
      <c r="F13" s="1041"/>
      <c r="G13" s="1041"/>
      <c r="H13" s="1952"/>
    </row>
    <row r="14" spans="1:9" s="1025" customFormat="1">
      <c r="A14" s="1036"/>
      <c r="B14" s="1043" t="s">
        <v>701</v>
      </c>
      <c r="C14" s="1044" t="s">
        <v>203</v>
      </c>
      <c r="D14" s="1039"/>
      <c r="E14" s="1039"/>
      <c r="F14" s="1041"/>
      <c r="G14" s="1041"/>
      <c r="H14" s="1952"/>
    </row>
    <row r="15" spans="1:9" s="1025" customFormat="1">
      <c r="A15" s="1036"/>
      <c r="B15" s="1043" t="s">
        <v>702</v>
      </c>
      <c r="C15" s="1044" t="s">
        <v>203</v>
      </c>
      <c r="D15" s="1039"/>
      <c r="E15" s="1039"/>
      <c r="F15" s="1041"/>
      <c r="G15" s="1041"/>
      <c r="H15" s="1952"/>
    </row>
    <row r="16" spans="1:9" s="1025" customFormat="1">
      <c r="A16" s="1036"/>
      <c r="B16" s="1045" t="s">
        <v>26</v>
      </c>
      <c r="C16" s="1046"/>
      <c r="D16" s="1039"/>
      <c r="E16" s="1039"/>
      <c r="F16" s="1041"/>
      <c r="G16" s="1041"/>
      <c r="H16" s="1047">
        <f>SUM(H13:H15)</f>
        <v>0</v>
      </c>
    </row>
    <row r="17" spans="1:8" s="1025" customFormat="1">
      <c r="A17" s="1036"/>
      <c r="B17" s="1048" t="s">
        <v>401</v>
      </c>
      <c r="C17" s="1046"/>
      <c r="D17" s="1039"/>
      <c r="E17" s="1039"/>
      <c r="F17" s="1041"/>
      <c r="G17" s="1041"/>
      <c r="H17" s="1952">
        <f>H16*0.2</f>
        <v>0</v>
      </c>
    </row>
    <row r="18" spans="1:8" s="1025" customFormat="1" ht="19.5" thickBot="1">
      <c r="A18" s="1049"/>
      <c r="B18" s="1050" t="s">
        <v>195</v>
      </c>
      <c r="C18" s="1051"/>
      <c r="D18" s="1051"/>
      <c r="E18" s="1051"/>
      <c r="F18" s="1052"/>
      <c r="G18" s="1053"/>
      <c r="H18" s="1054">
        <f>SUM(H16:H17)</f>
        <v>0</v>
      </c>
    </row>
    <row r="19" spans="1:8" ht="18.75">
      <c r="A19" s="2523"/>
      <c r="B19" s="2523"/>
      <c r="C19" s="2523"/>
      <c r="D19" s="1055"/>
      <c r="E19" s="1055"/>
      <c r="F19" s="1056"/>
      <c r="G19" s="1057"/>
      <c r="H19" s="1058"/>
    </row>
    <row r="20" spans="1:8" ht="20.25">
      <c r="B20" s="1060"/>
      <c r="C20" s="1061"/>
      <c r="D20" s="1062"/>
      <c r="G20" s="1064"/>
      <c r="H20" s="1064"/>
    </row>
    <row r="21" spans="1:8" ht="20.25">
      <c r="B21" s="1065"/>
      <c r="C21" s="620"/>
      <c r="D21" s="1062"/>
      <c r="E21" s="104"/>
      <c r="G21" s="885"/>
      <c r="H21" s="1066"/>
    </row>
    <row r="22" spans="1:8">
      <c r="B22" s="103" t="s">
        <v>126</v>
      </c>
      <c r="C22" s="101"/>
      <c r="E22" s="106" t="s">
        <v>124</v>
      </c>
      <c r="G22" s="119" t="s">
        <v>127</v>
      </c>
      <c r="H22" s="119"/>
    </row>
    <row r="23" spans="1:8">
      <c r="G23" s="77"/>
      <c r="H23" s="77"/>
    </row>
    <row r="25" spans="1:8" ht="18.75">
      <c r="A25" s="2524" t="s">
        <v>412</v>
      </c>
      <c r="B25" s="2524"/>
      <c r="C25" s="2524"/>
      <c r="D25" s="2524"/>
      <c r="E25" s="2524"/>
      <c r="F25" s="2524"/>
      <c r="G25" s="2524"/>
      <c r="H25" s="2524"/>
    </row>
    <row r="26" spans="1:8">
      <c r="A26" s="2525" t="s">
        <v>1295</v>
      </c>
      <c r="B26" s="2525"/>
      <c r="C26" s="2525"/>
      <c r="D26" s="2525"/>
      <c r="E26" s="2525"/>
      <c r="F26" s="2525"/>
      <c r="G26" s="2525"/>
      <c r="H26" s="2525"/>
    </row>
    <row r="27" spans="1:8" ht="19.5" thickBot="1">
      <c r="A27" s="1009"/>
      <c r="B27" s="1010"/>
      <c r="C27" s="1011"/>
      <c r="D27" s="1011"/>
      <c r="E27" s="1011"/>
      <c r="F27" s="1012"/>
      <c r="G27" s="1012"/>
      <c r="H27" s="1013"/>
    </row>
    <row r="28" spans="1:8" ht="12.75">
      <c r="A28" s="2526" t="s">
        <v>0</v>
      </c>
      <c r="B28" s="2528" t="s">
        <v>694</v>
      </c>
      <c r="C28" s="2528" t="s">
        <v>695</v>
      </c>
      <c r="D28" s="2530" t="s">
        <v>696</v>
      </c>
      <c r="E28" s="2530" t="s">
        <v>697</v>
      </c>
      <c r="F28" s="2532" t="s">
        <v>698</v>
      </c>
      <c r="G28" s="2534" t="s">
        <v>699</v>
      </c>
      <c r="H28" s="2536" t="s">
        <v>700</v>
      </c>
    </row>
    <row r="29" spans="1:8" ht="13.5" thickBot="1">
      <c r="A29" s="2527"/>
      <c r="B29" s="2529"/>
      <c r="C29" s="2529"/>
      <c r="D29" s="2531"/>
      <c r="E29" s="2531"/>
      <c r="F29" s="2533"/>
      <c r="G29" s="2535"/>
      <c r="H29" s="2537"/>
    </row>
    <row r="30" spans="1:8" ht="12.75">
      <c r="A30" s="1014">
        <v>1</v>
      </c>
      <c r="B30" s="1015">
        <v>2</v>
      </c>
      <c r="C30" s="1015">
        <v>3</v>
      </c>
      <c r="D30" s="1016"/>
      <c r="E30" s="1016"/>
      <c r="F30" s="1017">
        <v>4</v>
      </c>
      <c r="G30" s="1018"/>
      <c r="H30" s="1019">
        <v>6</v>
      </c>
    </row>
    <row r="31" spans="1:8" ht="15">
      <c r="A31" s="1020"/>
      <c r="B31" s="1021"/>
      <c r="C31" s="1022"/>
      <c r="D31" s="1022"/>
      <c r="E31" s="1022"/>
      <c r="F31" s="1023"/>
      <c r="G31" s="1023"/>
      <c r="H31" s="1024"/>
    </row>
    <row r="32" spans="1:8">
      <c r="A32" s="1026"/>
      <c r="B32" s="1027"/>
      <c r="C32" s="1028"/>
      <c r="D32" s="1022"/>
      <c r="E32" s="1029"/>
      <c r="F32" s="1023"/>
      <c r="G32" s="1023"/>
      <c r="H32" s="1030"/>
    </row>
    <row r="33" spans="1:8" ht="15">
      <c r="A33" s="1026"/>
      <c r="B33" s="1027"/>
      <c r="C33" s="1031"/>
      <c r="D33" s="1029"/>
      <c r="E33" s="1032"/>
      <c r="F33" s="1032"/>
      <c r="G33" s="1703"/>
      <c r="H33" s="1033"/>
    </row>
    <row r="34" spans="1:8" ht="15">
      <c r="A34" s="1020"/>
      <c r="B34" s="1027"/>
      <c r="C34" s="1028"/>
      <c r="D34" s="1022"/>
      <c r="E34" s="1032"/>
      <c r="F34" s="1034"/>
      <c r="G34" s="1035"/>
      <c r="H34" s="1033"/>
    </row>
    <row r="35" spans="1:8" ht="15">
      <c r="A35" s="1036"/>
      <c r="B35" s="1037"/>
      <c r="C35" s="1038"/>
      <c r="D35" s="1039"/>
      <c r="E35" s="1022"/>
      <c r="F35" s="1704"/>
      <c r="G35" s="1704"/>
      <c r="H35" s="1033"/>
    </row>
    <row r="36" spans="1:8" ht="15">
      <c r="A36" s="1036"/>
      <c r="B36" s="1040" t="s">
        <v>195</v>
      </c>
      <c r="C36" s="1039"/>
      <c r="D36" s="1039"/>
      <c r="E36" s="1039"/>
      <c r="F36" s="1041"/>
      <c r="G36" s="1041"/>
      <c r="H36" s="1042"/>
    </row>
    <row r="37" spans="1:8">
      <c r="A37" s="1036"/>
      <c r="B37" s="1043"/>
      <c r="C37" s="1044" t="s">
        <v>203</v>
      </c>
      <c r="D37" s="1039"/>
      <c r="E37" s="1039"/>
      <c r="F37" s="1041"/>
      <c r="G37" s="1041"/>
      <c r="H37" s="1042"/>
    </row>
    <row r="38" spans="1:8">
      <c r="A38" s="1036"/>
      <c r="B38" s="1043"/>
      <c r="C38" s="1044" t="s">
        <v>203</v>
      </c>
      <c r="D38" s="1039"/>
      <c r="E38" s="1039"/>
      <c r="F38" s="1041"/>
      <c r="G38" s="1041"/>
      <c r="H38" s="1042"/>
    </row>
    <row r="39" spans="1:8">
      <c r="A39" s="1036"/>
      <c r="B39" s="1045" t="s">
        <v>26</v>
      </c>
      <c r="C39" s="1046"/>
      <c r="D39" s="1039"/>
      <c r="E39" s="1039"/>
      <c r="F39" s="1041"/>
      <c r="G39" s="1041"/>
      <c r="H39" s="1047">
        <f>SUM(H36:H38)</f>
        <v>0</v>
      </c>
    </row>
    <row r="40" spans="1:8">
      <c r="A40" s="1036"/>
      <c r="B40" s="1048" t="s">
        <v>401</v>
      </c>
      <c r="C40" s="1046"/>
      <c r="D40" s="1039"/>
      <c r="E40" s="1039"/>
      <c r="F40" s="1041"/>
      <c r="G40" s="1041"/>
      <c r="H40" s="1952">
        <f>H39*0.2</f>
        <v>0</v>
      </c>
    </row>
    <row r="41" spans="1:8" ht="19.5" thickBot="1">
      <c r="A41" s="1049"/>
      <c r="B41" s="1050" t="s">
        <v>195</v>
      </c>
      <c r="C41" s="1051"/>
      <c r="D41" s="1051"/>
      <c r="E41" s="1051"/>
      <c r="F41" s="1052"/>
      <c r="G41" s="1053"/>
      <c r="H41" s="1054">
        <f>SUM(H39:H40)</f>
        <v>0</v>
      </c>
    </row>
    <row r="42" spans="1:8" ht="18.75">
      <c r="A42" s="2523"/>
      <c r="B42" s="2523"/>
      <c r="C42" s="2523"/>
      <c r="D42" s="1808"/>
      <c r="E42" s="1808"/>
      <c r="F42" s="1056"/>
      <c r="G42" s="1057"/>
      <c r="H42" s="1058"/>
    </row>
    <row r="43" spans="1:8" ht="20.25">
      <c r="B43" s="1060"/>
      <c r="C43" s="1061"/>
      <c r="D43" s="1062"/>
      <c r="E43" s="1758"/>
      <c r="G43" s="1064"/>
      <c r="H43" s="1064"/>
    </row>
    <row r="44" spans="1:8" ht="20.25">
      <c r="B44" s="1803"/>
      <c r="C44" s="620"/>
      <c r="D44" s="1062"/>
      <c r="E44" s="104"/>
      <c r="G44" s="1791"/>
      <c r="H44" s="1066"/>
    </row>
    <row r="45" spans="1:8">
      <c r="B45" s="1804" t="s">
        <v>126</v>
      </c>
      <c r="C45" s="1785"/>
      <c r="D45" s="1758"/>
      <c r="E45" s="1790" t="s">
        <v>124</v>
      </c>
      <c r="G45" s="1806" t="s">
        <v>127</v>
      </c>
      <c r="H45" s="1806"/>
    </row>
    <row r="48" spans="1:8" ht="18.75">
      <c r="A48" s="2524" t="s">
        <v>412</v>
      </c>
      <c r="B48" s="2524"/>
      <c r="C48" s="2524"/>
      <c r="D48" s="2524"/>
      <c r="E48" s="2524"/>
      <c r="F48" s="2524"/>
      <c r="G48" s="2524"/>
      <c r="H48" s="2524"/>
    </row>
    <row r="49" spans="1:8">
      <c r="A49" s="2525" t="s">
        <v>1296</v>
      </c>
      <c r="B49" s="2525"/>
      <c r="C49" s="2525"/>
      <c r="D49" s="2525"/>
      <c r="E49" s="2525"/>
      <c r="F49" s="2525"/>
      <c r="G49" s="2525"/>
      <c r="H49" s="2525"/>
    </row>
    <row r="50" spans="1:8" ht="19.5" thickBot="1">
      <c r="A50" s="1009"/>
      <c r="B50" s="1010"/>
      <c r="C50" s="1011"/>
      <c r="D50" s="1011"/>
      <c r="E50" s="1011"/>
      <c r="F50" s="1012"/>
      <c r="G50" s="1012"/>
      <c r="H50" s="1013"/>
    </row>
    <row r="51" spans="1:8" ht="12.75">
      <c r="A51" s="2526" t="s">
        <v>0</v>
      </c>
      <c r="B51" s="2528" t="s">
        <v>694</v>
      </c>
      <c r="C51" s="2528" t="s">
        <v>695</v>
      </c>
      <c r="D51" s="2530" t="s">
        <v>696</v>
      </c>
      <c r="E51" s="2530" t="s">
        <v>697</v>
      </c>
      <c r="F51" s="2532" t="s">
        <v>698</v>
      </c>
      <c r="G51" s="2534" t="s">
        <v>699</v>
      </c>
      <c r="H51" s="2536" t="s">
        <v>700</v>
      </c>
    </row>
    <row r="52" spans="1:8" ht="13.5" thickBot="1">
      <c r="A52" s="2527"/>
      <c r="B52" s="2529"/>
      <c r="C52" s="2529"/>
      <c r="D52" s="2531"/>
      <c r="E52" s="2531"/>
      <c r="F52" s="2533"/>
      <c r="G52" s="2535"/>
      <c r="H52" s="2537"/>
    </row>
    <row r="53" spans="1:8" ht="12.75">
      <c r="A53" s="1014">
        <v>1</v>
      </c>
      <c r="B53" s="1015">
        <v>2</v>
      </c>
      <c r="C53" s="1015">
        <v>3</v>
      </c>
      <c r="D53" s="1016"/>
      <c r="E53" s="1016"/>
      <c r="F53" s="1017">
        <v>4</v>
      </c>
      <c r="G53" s="1018"/>
      <c r="H53" s="1019">
        <v>6</v>
      </c>
    </row>
    <row r="54" spans="1:8" ht="15">
      <c r="A54" s="1020"/>
      <c r="B54" s="1021"/>
      <c r="C54" s="1022"/>
      <c r="D54" s="1022"/>
      <c r="E54" s="1022"/>
      <c r="F54" s="1023"/>
      <c r="G54" s="1023"/>
      <c r="H54" s="1024"/>
    </row>
    <row r="55" spans="1:8">
      <c r="A55" s="1026"/>
      <c r="B55" s="1027"/>
      <c r="C55" s="1028"/>
      <c r="D55" s="1022"/>
      <c r="E55" s="1029"/>
      <c r="F55" s="1023"/>
      <c r="G55" s="1023"/>
      <c r="H55" s="1030"/>
    </row>
    <row r="56" spans="1:8" ht="15">
      <c r="A56" s="1026"/>
      <c r="B56" s="1027"/>
      <c r="C56" s="1031"/>
      <c r="D56" s="1029"/>
      <c r="E56" s="1032"/>
      <c r="F56" s="1032"/>
      <c r="G56" s="1703"/>
      <c r="H56" s="1033"/>
    </row>
    <row r="57" spans="1:8" ht="15">
      <c r="A57" s="1020"/>
      <c r="B57" s="1027"/>
      <c r="C57" s="1028"/>
      <c r="D57" s="1022"/>
      <c r="E57" s="1032"/>
      <c r="F57" s="1034"/>
      <c r="G57" s="1035"/>
      <c r="H57" s="1033"/>
    </row>
    <row r="58" spans="1:8" ht="15">
      <c r="A58" s="1036"/>
      <c r="B58" s="1037"/>
      <c r="C58" s="1038"/>
      <c r="D58" s="1039"/>
      <c r="E58" s="1022"/>
      <c r="F58" s="1704"/>
      <c r="G58" s="1704"/>
      <c r="H58" s="1033"/>
    </row>
    <row r="59" spans="1:8" ht="15">
      <c r="A59" s="1036"/>
      <c r="B59" s="1040" t="s">
        <v>195</v>
      </c>
      <c r="C59" s="1039"/>
      <c r="D59" s="1039"/>
      <c r="E59" s="1039"/>
      <c r="F59" s="1041"/>
      <c r="G59" s="1041"/>
      <c r="H59" s="1042"/>
    </row>
    <row r="60" spans="1:8">
      <c r="A60" s="1036"/>
      <c r="B60" s="1043"/>
      <c r="C60" s="1044" t="s">
        <v>203</v>
      </c>
      <c r="D60" s="1039"/>
      <c r="E60" s="1039"/>
      <c r="F60" s="1041"/>
      <c r="G60" s="1041"/>
      <c r="H60" s="1042"/>
    </row>
    <row r="61" spans="1:8">
      <c r="A61" s="1036"/>
      <c r="B61" s="1043"/>
      <c r="C61" s="1044" t="s">
        <v>203</v>
      </c>
      <c r="D61" s="1039"/>
      <c r="E61" s="1039"/>
      <c r="F61" s="1041"/>
      <c r="G61" s="1041"/>
      <c r="H61" s="1042"/>
    </row>
    <row r="62" spans="1:8">
      <c r="A62" s="1036"/>
      <c r="B62" s="1045" t="s">
        <v>26</v>
      </c>
      <c r="C62" s="1046"/>
      <c r="D62" s="1039"/>
      <c r="E62" s="1039"/>
      <c r="F62" s="1041"/>
      <c r="G62" s="1041"/>
      <c r="H62" s="1047">
        <f>SUM(H59:H61)</f>
        <v>0</v>
      </c>
    </row>
    <row r="63" spans="1:8">
      <c r="A63" s="1036"/>
      <c r="B63" s="1048" t="s">
        <v>401</v>
      </c>
      <c r="C63" s="1046"/>
      <c r="D63" s="1039"/>
      <c r="E63" s="1039"/>
      <c r="F63" s="1041"/>
      <c r="G63" s="1041"/>
      <c r="H63" s="1952">
        <f>H62*0.2</f>
        <v>0</v>
      </c>
    </row>
    <row r="64" spans="1:8" ht="19.5" thickBot="1">
      <c r="A64" s="1049"/>
      <c r="B64" s="1050" t="s">
        <v>195</v>
      </c>
      <c r="C64" s="1051"/>
      <c r="D64" s="1051"/>
      <c r="E64" s="1051"/>
      <c r="F64" s="1052"/>
      <c r="G64" s="1053"/>
      <c r="H64" s="1054">
        <f>SUM(H62:H63)</f>
        <v>0</v>
      </c>
    </row>
    <row r="65" spans="1:8" ht="18.75">
      <c r="A65" s="2523"/>
      <c r="B65" s="2523"/>
      <c r="C65" s="2523"/>
      <c r="D65" s="1942"/>
      <c r="E65" s="1942"/>
      <c r="F65" s="1056"/>
      <c r="G65" s="1057"/>
      <c r="H65" s="1058"/>
    </row>
    <row r="66" spans="1:8" ht="20.25">
      <c r="B66" s="1060"/>
      <c r="C66" s="1061"/>
      <c r="D66" s="1062"/>
      <c r="E66" s="1758"/>
      <c r="G66" s="1064"/>
      <c r="H66" s="1064"/>
    </row>
    <row r="67" spans="1:8" ht="20.25">
      <c r="B67" s="1931"/>
      <c r="C67" s="620"/>
      <c r="D67" s="1062"/>
      <c r="E67" s="104"/>
      <c r="G67" s="1917"/>
      <c r="H67" s="1066"/>
    </row>
    <row r="68" spans="1:8">
      <c r="B68" s="1932" t="s">
        <v>126</v>
      </c>
      <c r="C68" s="1909"/>
      <c r="D68" s="1758"/>
      <c r="E68" s="1916" t="s">
        <v>124</v>
      </c>
      <c r="G68" s="1935" t="s">
        <v>127</v>
      </c>
      <c r="H68" s="1935"/>
    </row>
  </sheetData>
  <mergeCells count="34">
    <mergeCell ref="A65:C65"/>
    <mergeCell ref="A48:H48"/>
    <mergeCell ref="A49:H49"/>
    <mergeCell ref="A51:A52"/>
    <mergeCell ref="B51:B52"/>
    <mergeCell ref="C51:C52"/>
    <mergeCell ref="D51:D52"/>
    <mergeCell ref="E51:E52"/>
    <mergeCell ref="F51:F52"/>
    <mergeCell ref="G51:G52"/>
    <mergeCell ref="H51:H52"/>
    <mergeCell ref="A42:C42"/>
    <mergeCell ref="A25:H25"/>
    <mergeCell ref="A26:H26"/>
    <mergeCell ref="A28:A29"/>
    <mergeCell ref="B28:B29"/>
    <mergeCell ref="C28:C29"/>
    <mergeCell ref="D28:D29"/>
    <mergeCell ref="E28:E29"/>
    <mergeCell ref="F28:F29"/>
    <mergeCell ref="G28:G29"/>
    <mergeCell ref="H28:H29"/>
    <mergeCell ref="A19:C19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  <mergeCell ref="H5:H6"/>
  </mergeCells>
  <pageMargins left="0.9055118110236221" right="0.39370078740157483" top="0.74803149606299213" bottom="0.74803149606299213" header="0.31496062992125984" footer="0.31496062992125984"/>
  <pageSetup paperSize="9" scale="7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workbookViewId="0">
      <selection activeCell="G27" sqref="G27"/>
    </sheetView>
  </sheetViews>
  <sheetFormatPr defaultRowHeight="12.75"/>
  <cols>
    <col min="1" max="1" width="6.85546875" bestFit="1" customWidth="1"/>
    <col min="2" max="2" width="54.7109375" bestFit="1" customWidth="1"/>
    <col min="3" max="3" width="9.28515625" customWidth="1"/>
    <col min="4" max="4" width="6.7109375" customWidth="1"/>
    <col min="5" max="5" width="8.140625" bestFit="1" customWidth="1"/>
    <col min="6" max="6" width="9.42578125" customWidth="1"/>
    <col min="8" max="8" width="11.5703125" customWidth="1"/>
    <col min="11" max="11" width="8.5703125" bestFit="1" customWidth="1"/>
    <col min="12" max="13" width="12.7109375" bestFit="1" customWidth="1"/>
    <col min="14" max="14" width="8.85546875" bestFit="1" customWidth="1"/>
    <col min="15" max="15" width="8" bestFit="1" customWidth="1"/>
    <col min="16" max="17" width="12.7109375" bestFit="1" customWidth="1"/>
    <col min="18" max="18" width="8.5703125" bestFit="1" customWidth="1"/>
    <col min="19" max="19" width="12.7109375" bestFit="1" customWidth="1"/>
  </cols>
  <sheetData>
    <row r="1" spans="1:19" ht="15.75">
      <c r="A1" s="425"/>
      <c r="B1" s="2295" t="s">
        <v>704</v>
      </c>
      <c r="C1" s="2295"/>
      <c r="D1" s="2295"/>
      <c r="E1" s="2295"/>
      <c r="F1" s="2295"/>
      <c r="G1" s="2295"/>
      <c r="H1" s="2295"/>
      <c r="I1" s="2295"/>
      <c r="J1" s="2295"/>
      <c r="K1" s="2295"/>
      <c r="L1" s="2295"/>
      <c r="M1" s="2295"/>
      <c r="N1" s="2295"/>
      <c r="O1" s="2295"/>
      <c r="P1" s="2295"/>
      <c r="Q1" s="2295"/>
      <c r="R1" s="2295"/>
      <c r="S1" s="2295"/>
    </row>
    <row r="2" spans="1:19" ht="31.5" customHeight="1">
      <c r="A2" s="2538" t="s">
        <v>766</v>
      </c>
      <c r="B2" s="2538"/>
      <c r="C2" s="2538"/>
      <c r="D2" s="2538"/>
      <c r="E2" s="1078"/>
      <c r="F2" s="1079"/>
      <c r="G2" s="1079"/>
      <c r="H2" s="1079"/>
      <c r="I2" s="1079"/>
      <c r="J2" s="1079"/>
      <c r="K2" s="1079"/>
      <c r="L2" s="1079"/>
      <c r="M2" s="1079"/>
      <c r="N2" s="1080"/>
      <c r="O2" s="2539"/>
      <c r="P2" s="2539"/>
      <c r="Q2" s="1082"/>
      <c r="R2" s="1082"/>
      <c r="S2" s="1082"/>
    </row>
    <row r="3" spans="1:19" ht="15.75">
      <c r="A3" s="2538" t="s">
        <v>767</v>
      </c>
      <c r="B3" s="2538"/>
      <c r="C3" s="2538"/>
      <c r="D3" s="2538"/>
      <c r="E3" s="1083">
        <f>'№1,6 Мобил., демоб  БУ'!N5</f>
        <v>0</v>
      </c>
      <c r="F3" s="1079"/>
      <c r="G3" s="1077"/>
      <c r="H3" s="1077"/>
      <c r="I3" s="1077"/>
      <c r="J3" s="1077"/>
      <c r="K3" s="1077"/>
      <c r="L3" s="1077"/>
      <c r="M3" s="1077"/>
      <c r="N3" s="1081"/>
      <c r="O3" s="1081"/>
      <c r="P3" s="1084"/>
      <c r="Q3" s="1082"/>
      <c r="R3" s="1082"/>
      <c r="S3" s="1082"/>
    </row>
    <row r="4" spans="1:19" ht="15.75">
      <c r="A4" s="2538" t="s">
        <v>768</v>
      </c>
      <c r="B4" s="2538"/>
      <c r="C4" s="2538"/>
      <c r="D4" s="2538"/>
      <c r="E4" s="1085">
        <f>194+17</f>
        <v>211</v>
      </c>
      <c r="F4" s="1079"/>
      <c r="G4" s="1077"/>
      <c r="H4" s="1077"/>
      <c r="I4" s="1077"/>
      <c r="J4" s="1077"/>
      <c r="K4" s="1077"/>
      <c r="L4" s="1077"/>
      <c r="M4" s="1077"/>
      <c r="N4" s="1081"/>
      <c r="O4" s="1081"/>
      <c r="P4" s="1084"/>
      <c r="Q4" s="1082"/>
      <c r="R4" s="1082"/>
      <c r="S4" s="1082"/>
    </row>
    <row r="5" spans="1:19" ht="16.5" thickBot="1">
      <c r="A5" s="2542" t="s">
        <v>705</v>
      </c>
      <c r="B5" s="2542"/>
      <c r="C5" s="2542"/>
      <c r="D5" s="2542"/>
      <c r="E5" s="1085">
        <v>440</v>
      </c>
      <c r="F5" s="1079"/>
      <c r="G5" s="1077"/>
      <c r="H5" s="1077"/>
      <c r="I5" s="1077"/>
      <c r="J5" s="1077"/>
      <c r="K5" s="1077"/>
      <c r="L5" s="1077"/>
      <c r="M5" s="1077"/>
      <c r="N5" s="1081"/>
      <c r="O5" s="1081"/>
      <c r="P5" s="1086"/>
      <c r="Q5" s="1082"/>
      <c r="R5" s="1082"/>
      <c r="S5" s="1082"/>
    </row>
    <row r="6" spans="1:19" ht="78.75">
      <c r="A6" s="2545" t="s">
        <v>0</v>
      </c>
      <c r="B6" s="2547" t="s">
        <v>55</v>
      </c>
      <c r="C6" s="1087" t="s">
        <v>706</v>
      </c>
      <c r="D6" s="1087" t="s">
        <v>167</v>
      </c>
      <c r="E6" s="1087" t="s">
        <v>168</v>
      </c>
      <c r="F6" s="2540" t="s">
        <v>707</v>
      </c>
      <c r="G6" s="2541"/>
      <c r="H6" s="2540" t="s">
        <v>171</v>
      </c>
      <c r="I6" s="2541"/>
      <c r="J6" s="1129" t="s">
        <v>175</v>
      </c>
      <c r="K6" s="1087" t="s">
        <v>100</v>
      </c>
      <c r="L6" s="1088" t="s">
        <v>158</v>
      </c>
      <c r="M6" s="1087" t="s">
        <v>57</v>
      </c>
      <c r="N6" s="1088" t="s">
        <v>169</v>
      </c>
      <c r="O6" s="1088" t="s">
        <v>71</v>
      </c>
      <c r="P6" s="1089" t="s">
        <v>58</v>
      </c>
      <c r="Q6" s="1087" t="s">
        <v>59</v>
      </c>
      <c r="R6" s="1087" t="s">
        <v>60</v>
      </c>
      <c r="S6" s="1090" t="s">
        <v>61</v>
      </c>
    </row>
    <row r="7" spans="1:19" ht="31.5">
      <c r="A7" s="2546"/>
      <c r="B7" s="2548"/>
      <c r="C7" s="1091" t="s">
        <v>63</v>
      </c>
      <c r="D7" s="1091" t="s">
        <v>160</v>
      </c>
      <c r="E7" s="1091" t="s">
        <v>66</v>
      </c>
      <c r="F7" s="1091" t="s">
        <v>708</v>
      </c>
      <c r="G7" s="1091" t="s">
        <v>102</v>
      </c>
      <c r="H7" s="1091" t="s">
        <v>708</v>
      </c>
      <c r="I7" s="1091" t="s">
        <v>102</v>
      </c>
      <c r="J7" s="1130" t="s">
        <v>161</v>
      </c>
      <c r="K7" s="1091" t="s">
        <v>161</v>
      </c>
      <c r="L7" s="1092" t="s">
        <v>64</v>
      </c>
      <c r="M7" s="1091" t="s">
        <v>65</v>
      </c>
      <c r="N7" s="1093" t="s">
        <v>66</v>
      </c>
      <c r="O7" s="1093" t="s">
        <v>66</v>
      </c>
      <c r="P7" s="1094" t="s">
        <v>65</v>
      </c>
      <c r="Q7" s="1095" t="s">
        <v>65</v>
      </c>
      <c r="R7" s="1095" t="s">
        <v>65</v>
      </c>
      <c r="S7" s="1096" t="s">
        <v>65</v>
      </c>
    </row>
    <row r="8" spans="1:19" ht="15.75">
      <c r="A8" s="1097">
        <v>1</v>
      </c>
      <c r="B8" s="1098">
        <v>2</v>
      </c>
      <c r="C8" s="1098">
        <v>3</v>
      </c>
      <c r="D8" s="1098">
        <v>4</v>
      </c>
      <c r="E8" s="1098">
        <v>5</v>
      </c>
      <c r="F8" s="1098">
        <v>6</v>
      </c>
      <c r="G8" s="1098">
        <v>7</v>
      </c>
      <c r="H8" s="1098">
        <v>8</v>
      </c>
      <c r="I8" s="1099" t="s">
        <v>463</v>
      </c>
      <c r="J8" s="1125" t="s">
        <v>464</v>
      </c>
      <c r="K8" s="1099" t="s">
        <v>465</v>
      </c>
      <c r="L8" s="1098">
        <v>12</v>
      </c>
      <c r="M8" s="1099" t="s">
        <v>467</v>
      </c>
      <c r="N8" s="1098">
        <v>14</v>
      </c>
      <c r="O8" s="1099" t="s">
        <v>469</v>
      </c>
      <c r="P8" s="1099" t="s">
        <v>470</v>
      </c>
      <c r="Q8" s="1099" t="s">
        <v>97</v>
      </c>
      <c r="R8" s="1099" t="s">
        <v>99</v>
      </c>
      <c r="S8" s="1100" t="s">
        <v>471</v>
      </c>
    </row>
    <row r="9" spans="1:19" ht="15.75">
      <c r="A9" s="832">
        <v>1</v>
      </c>
      <c r="B9" s="833" t="s">
        <v>709</v>
      </c>
      <c r="C9" s="834"/>
      <c r="D9" s="834"/>
      <c r="E9" s="834"/>
      <c r="F9" s="834"/>
      <c r="G9" s="834"/>
      <c r="H9" s="834"/>
      <c r="I9" s="1101"/>
      <c r="J9" s="1126"/>
      <c r="K9" s="1101"/>
      <c r="L9" s="834"/>
      <c r="M9" s="1101"/>
      <c r="N9" s="834"/>
      <c r="O9" s="1101"/>
      <c r="P9" s="1101"/>
      <c r="Q9" s="1101"/>
      <c r="R9" s="1101"/>
      <c r="S9" s="862">
        <f>SUM(S10)</f>
        <v>0</v>
      </c>
    </row>
    <row r="10" spans="1:19" ht="15.75">
      <c r="A10" s="838" t="s">
        <v>421</v>
      </c>
      <c r="B10" s="839" t="s">
        <v>710</v>
      </c>
      <c r="C10" s="840">
        <v>1</v>
      </c>
      <c r="D10" s="834"/>
      <c r="E10" s="840">
        <f>E3</f>
        <v>0</v>
      </c>
      <c r="F10" s="840">
        <v>30</v>
      </c>
      <c r="G10" s="840">
        <v>35</v>
      </c>
      <c r="H10" s="840">
        <f>E10/F10</f>
        <v>0</v>
      </c>
      <c r="I10" s="840">
        <f>E10/G10</f>
        <v>0</v>
      </c>
      <c r="J10" s="1127">
        <v>0</v>
      </c>
      <c r="K10" s="840">
        <f>(J10+I10+H10)*C10</f>
        <v>0</v>
      </c>
      <c r="L10" s="1102">
        <v>988.7</v>
      </c>
      <c r="M10" s="842">
        <f>L10*K10</f>
        <v>0</v>
      </c>
      <c r="N10" s="1103">
        <f>E10</f>
        <v>0</v>
      </c>
      <c r="O10" s="1103">
        <f>N10*C10</f>
        <v>0</v>
      </c>
      <c r="P10" s="1103">
        <v>25.19</v>
      </c>
      <c r="Q10" s="842">
        <f>O10*P10</f>
        <v>0</v>
      </c>
      <c r="R10" s="1103"/>
      <c r="S10" s="844">
        <f>Q10+M10</f>
        <v>0</v>
      </c>
    </row>
    <row r="11" spans="1:19" ht="15.75">
      <c r="A11" s="1104">
        <v>2</v>
      </c>
      <c r="B11" s="833" t="s">
        <v>765</v>
      </c>
      <c r="C11" s="1105"/>
      <c r="D11" s="1105"/>
      <c r="E11" s="1105"/>
      <c r="F11" s="1105"/>
      <c r="G11" s="1105"/>
      <c r="H11" s="1105"/>
      <c r="I11" s="1106"/>
      <c r="J11" s="1107"/>
      <c r="K11" s="1106"/>
      <c r="L11" s="1105"/>
      <c r="M11" s="1106"/>
      <c r="N11" s="1105"/>
      <c r="O11" s="1106"/>
      <c r="P11" s="1106"/>
      <c r="Q11" s="1106"/>
      <c r="R11" s="1101"/>
      <c r="S11" s="862">
        <f>SUM(S12)</f>
        <v>22184.195238095239</v>
      </c>
    </row>
    <row r="12" spans="1:19" ht="15.75">
      <c r="A12" s="871" t="s">
        <v>7</v>
      </c>
      <c r="B12" s="839" t="s">
        <v>710</v>
      </c>
      <c r="C12" s="840">
        <v>1</v>
      </c>
      <c r="D12" s="840"/>
      <c r="E12" s="840">
        <f>E4</f>
        <v>211</v>
      </c>
      <c r="F12" s="840">
        <v>30</v>
      </c>
      <c r="G12" s="840">
        <v>35</v>
      </c>
      <c r="H12" s="840">
        <f>E12/F12</f>
        <v>7.0333333333333332</v>
      </c>
      <c r="I12" s="840">
        <f>E12/G12</f>
        <v>6.0285714285714285</v>
      </c>
      <c r="J12" s="1128">
        <v>4</v>
      </c>
      <c r="K12" s="840">
        <f>(J12+I12+H12)*C12</f>
        <v>17.061904761904763</v>
      </c>
      <c r="L12" s="1102">
        <f>L10</f>
        <v>988.7</v>
      </c>
      <c r="M12" s="842">
        <f>L12*K12</f>
        <v>16869.105238095239</v>
      </c>
      <c r="N12" s="1103">
        <f>E12</f>
        <v>211</v>
      </c>
      <c r="O12" s="1103">
        <f>N12*C12</f>
        <v>211</v>
      </c>
      <c r="P12" s="1103">
        <f>P10</f>
        <v>25.19</v>
      </c>
      <c r="Q12" s="842">
        <f>O12*P12</f>
        <v>5315.09</v>
      </c>
      <c r="R12" s="1103"/>
      <c r="S12" s="844">
        <f>Q12+M12</f>
        <v>22184.195238095239</v>
      </c>
    </row>
    <row r="13" spans="1:19" ht="31.5">
      <c r="A13" s="871">
        <v>3</v>
      </c>
      <c r="B13" s="833" t="s">
        <v>711</v>
      </c>
      <c r="C13" s="1108"/>
      <c r="D13" s="840"/>
      <c r="E13" s="840"/>
      <c r="F13" s="840"/>
      <c r="G13" s="840"/>
      <c r="H13" s="840"/>
      <c r="I13" s="840"/>
      <c r="J13" s="1127"/>
      <c r="K13" s="840"/>
      <c r="L13" s="1102"/>
      <c r="M13" s="842"/>
      <c r="N13" s="1103"/>
      <c r="O13" s="1103"/>
      <c r="P13" s="1102"/>
      <c r="Q13" s="842"/>
      <c r="R13" s="1103"/>
      <c r="S13" s="862">
        <f>SUM(S14)</f>
        <v>38013.904761904763</v>
      </c>
    </row>
    <row r="14" spans="1:19" ht="15.75">
      <c r="A14" s="1109" t="s">
        <v>120</v>
      </c>
      <c r="B14" s="839" t="s">
        <v>710</v>
      </c>
      <c r="C14" s="840">
        <v>1</v>
      </c>
      <c r="D14" s="840"/>
      <c r="E14" s="840">
        <f>E5</f>
        <v>440</v>
      </c>
      <c r="F14" s="840">
        <v>30</v>
      </c>
      <c r="G14" s="840">
        <v>35</v>
      </c>
      <c r="H14" s="840">
        <f>E14/F14</f>
        <v>14.666666666666666</v>
      </c>
      <c r="I14" s="840">
        <f>E14/G14</f>
        <v>12.571428571428571</v>
      </c>
      <c r="J14" s="1127">
        <v>0</v>
      </c>
      <c r="K14" s="840">
        <f>(J14+I14+H14)*C14</f>
        <v>27.238095238095237</v>
      </c>
      <c r="L14" s="1102">
        <f>L10</f>
        <v>988.7</v>
      </c>
      <c r="M14" s="842">
        <f>L14*K14</f>
        <v>26930.304761904761</v>
      </c>
      <c r="N14" s="1103">
        <f>E14</f>
        <v>440</v>
      </c>
      <c r="O14" s="1103">
        <f>N14*C14</f>
        <v>440</v>
      </c>
      <c r="P14" s="1103">
        <f>P10</f>
        <v>25.19</v>
      </c>
      <c r="Q14" s="842">
        <f>O14*P14</f>
        <v>11083.6</v>
      </c>
      <c r="R14" s="1103"/>
      <c r="S14" s="844">
        <f>Q14+M14</f>
        <v>38013.904761904763</v>
      </c>
    </row>
    <row r="15" spans="1:19" ht="15.75">
      <c r="A15" s="877">
        <v>4</v>
      </c>
      <c r="B15" s="878" t="s">
        <v>67</v>
      </c>
      <c r="C15" s="1110"/>
      <c r="D15" s="1110"/>
      <c r="E15" s="1110"/>
      <c r="F15" s="1110"/>
      <c r="G15" s="1110"/>
      <c r="H15" s="1110"/>
      <c r="I15" s="1110"/>
      <c r="J15" s="1123"/>
      <c r="K15" s="1110"/>
      <c r="L15" s="1111"/>
      <c r="M15" s="1111"/>
      <c r="N15" s="1111"/>
      <c r="O15" s="1111"/>
      <c r="P15" s="1112"/>
      <c r="Q15" s="1111"/>
      <c r="R15" s="1111"/>
      <c r="S15" s="1113">
        <f>S13+S11+S9</f>
        <v>60198.100000000006</v>
      </c>
    </row>
    <row r="16" spans="1:19" ht="15.75">
      <c r="A16" s="877">
        <v>5</v>
      </c>
      <c r="B16" s="878" t="s">
        <v>401</v>
      </c>
      <c r="C16" s="1110"/>
      <c r="D16" s="1110"/>
      <c r="E16" s="1110"/>
      <c r="F16" s="1110"/>
      <c r="G16" s="1110"/>
      <c r="H16" s="1110"/>
      <c r="I16" s="1110"/>
      <c r="J16" s="1123"/>
      <c r="K16" s="1110"/>
      <c r="L16" s="1111"/>
      <c r="M16" s="1111"/>
      <c r="N16" s="1111"/>
      <c r="O16" s="1111"/>
      <c r="P16" s="1112"/>
      <c r="Q16" s="1111"/>
      <c r="R16" s="1111"/>
      <c r="S16" s="1113">
        <f>S15*20%</f>
        <v>12039.620000000003</v>
      </c>
    </row>
    <row r="17" spans="1:19" ht="16.5" thickBot="1">
      <c r="A17" s="1114">
        <v>6</v>
      </c>
      <c r="B17" s="1115" t="s">
        <v>70</v>
      </c>
      <c r="C17" s="1116"/>
      <c r="D17" s="1116"/>
      <c r="E17" s="1116"/>
      <c r="F17" s="1116"/>
      <c r="G17" s="1116"/>
      <c r="H17" s="1116"/>
      <c r="I17" s="1116"/>
      <c r="J17" s="1124"/>
      <c r="K17" s="1116"/>
      <c r="L17" s="1117"/>
      <c r="M17" s="1117"/>
      <c r="N17" s="1117"/>
      <c r="O17" s="1117"/>
      <c r="P17" s="1118"/>
      <c r="Q17" s="1117"/>
      <c r="R17" s="1117"/>
      <c r="S17" s="1119">
        <f>S15+S16</f>
        <v>72237.72</v>
      </c>
    </row>
    <row r="18" spans="1:19" ht="15.75">
      <c r="A18" s="425"/>
      <c r="B18" s="425"/>
      <c r="C18" s="425"/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4"/>
      <c r="R18" s="424"/>
      <c r="S18" s="424"/>
    </row>
    <row r="19" spans="1:19" ht="15.75">
      <c r="A19" s="425"/>
      <c r="B19" s="2543" t="s">
        <v>703</v>
      </c>
      <c r="C19" s="2543"/>
      <c r="D19" s="2543"/>
      <c r="E19" s="2543"/>
      <c r="F19" s="117" t="s">
        <v>712</v>
      </c>
      <c r="G19" s="77"/>
      <c r="H19" s="77" t="s">
        <v>681</v>
      </c>
      <c r="I19" s="425"/>
      <c r="J19" s="425"/>
      <c r="K19" s="425"/>
      <c r="L19" s="425"/>
      <c r="M19" s="425"/>
      <c r="N19" s="425"/>
      <c r="O19" s="425"/>
      <c r="P19" s="425"/>
      <c r="Q19" s="424"/>
      <c r="R19" s="424"/>
      <c r="S19" s="424"/>
    </row>
    <row r="20" spans="1:19" ht="15.75">
      <c r="A20" s="425"/>
      <c r="B20" s="987"/>
      <c r="C20" s="1120"/>
      <c r="D20" s="1120"/>
      <c r="E20" s="2544" t="s">
        <v>682</v>
      </c>
      <c r="F20" s="2544"/>
      <c r="G20" s="2544"/>
      <c r="H20" s="77" t="s">
        <v>127</v>
      </c>
      <c r="I20" s="425"/>
      <c r="J20" s="425"/>
      <c r="K20" s="425"/>
      <c r="L20" s="425"/>
      <c r="M20" s="425"/>
      <c r="N20" s="425"/>
      <c r="O20" s="425"/>
      <c r="P20" s="425"/>
      <c r="Q20" s="424"/>
      <c r="R20" s="424"/>
      <c r="S20" s="424"/>
    </row>
    <row r="21" spans="1:19" ht="15.75">
      <c r="A21" s="425"/>
      <c r="B21" s="425" t="s">
        <v>54</v>
      </c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  <c r="P21" s="425"/>
      <c r="Q21" s="424"/>
      <c r="R21" s="424"/>
      <c r="S21" s="424"/>
    </row>
    <row r="22" spans="1:19" ht="15.75">
      <c r="A22" s="423"/>
      <c r="B22" s="423"/>
      <c r="C22" s="424"/>
      <c r="D22" s="424"/>
      <c r="E22" s="424"/>
      <c r="F22" s="424"/>
      <c r="G22" s="424"/>
      <c r="H22" s="424"/>
      <c r="I22" s="424"/>
      <c r="J22" s="424"/>
      <c r="K22" s="424"/>
      <c r="L22" s="423"/>
      <c r="M22" s="424"/>
      <c r="N22" s="423"/>
      <c r="O22" s="423"/>
      <c r="P22" s="1121"/>
      <c r="Q22" s="424"/>
      <c r="R22" s="424"/>
      <c r="S22" s="424"/>
    </row>
  </sheetData>
  <mergeCells count="12">
    <mergeCell ref="H6:I6"/>
    <mergeCell ref="A5:D5"/>
    <mergeCell ref="B19:E19"/>
    <mergeCell ref="E20:G20"/>
    <mergeCell ref="A6:A7"/>
    <mergeCell ref="B6:B7"/>
    <mergeCell ref="F6:G6"/>
    <mergeCell ref="B1:S1"/>
    <mergeCell ref="A2:D2"/>
    <mergeCell ref="O2:P2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K27" sqref="K27"/>
    </sheetView>
  </sheetViews>
  <sheetFormatPr defaultRowHeight="15.75"/>
  <cols>
    <col min="1" max="1" width="4.7109375" style="1157" customWidth="1"/>
    <col min="2" max="2" width="41.28515625" customWidth="1"/>
    <col min="3" max="3" width="11.42578125" customWidth="1"/>
    <col min="4" max="4" width="14.7109375" style="1063" customWidth="1"/>
    <col min="5" max="5" width="18.28515625" customWidth="1"/>
    <col min="7" max="7" width="13.28515625" customWidth="1"/>
  </cols>
  <sheetData>
    <row r="1" spans="1:7" ht="14.25">
      <c r="A1" s="2549" t="s">
        <v>722</v>
      </c>
      <c r="B1" s="2549"/>
      <c r="C1" s="2549"/>
      <c r="D1" s="2549"/>
      <c r="E1" s="2549"/>
    </row>
    <row r="2" spans="1:7" ht="14.25">
      <c r="A2" s="2284" t="s">
        <v>1297</v>
      </c>
      <c r="B2" s="2284"/>
      <c r="C2" s="2284"/>
      <c r="D2" s="2284"/>
      <c r="E2" s="2284"/>
    </row>
    <row r="3" spans="1:7" ht="23.25" customHeight="1" thickBot="1">
      <c r="A3" s="2558"/>
      <c r="B3" s="2558"/>
      <c r="C3" s="2558"/>
      <c r="D3" s="2558"/>
      <c r="E3" s="2558"/>
    </row>
    <row r="4" spans="1:7" ht="10.5" customHeight="1">
      <c r="A4" s="2550" t="s">
        <v>0</v>
      </c>
      <c r="B4" s="2552" t="s">
        <v>694</v>
      </c>
      <c r="C4" s="2552" t="s">
        <v>697</v>
      </c>
      <c r="D4" s="2554" t="s">
        <v>698</v>
      </c>
      <c r="E4" s="2556" t="s">
        <v>700</v>
      </c>
    </row>
    <row r="5" spans="1:7" ht="13.5" thickBot="1">
      <c r="A5" s="2551"/>
      <c r="B5" s="2553"/>
      <c r="C5" s="2553"/>
      <c r="D5" s="2555"/>
      <c r="E5" s="2557"/>
    </row>
    <row r="6" spans="1:7" ht="18" customHeight="1">
      <c r="A6" s="1136">
        <v>1</v>
      </c>
      <c r="B6" s="1137">
        <v>2</v>
      </c>
      <c r="C6" s="1137">
        <v>3</v>
      </c>
      <c r="D6" s="1138">
        <v>4</v>
      </c>
      <c r="E6" s="1139">
        <v>5</v>
      </c>
    </row>
    <row r="7" spans="1:7" s="1758" customFormat="1" ht="19.899999999999999" customHeight="1">
      <c r="A7" s="1136">
        <v>2</v>
      </c>
      <c r="B7" s="1140" t="s">
        <v>983</v>
      </c>
      <c r="C7" s="1141"/>
      <c r="D7" s="1141"/>
      <c r="E7" s="1142">
        <f t="shared" ref="E7:E8" si="0">C7*D7</f>
        <v>0</v>
      </c>
    </row>
    <row r="8" spans="1:7" s="1758" customFormat="1" ht="19.899999999999999" customHeight="1">
      <c r="A8" s="1136">
        <v>3</v>
      </c>
      <c r="B8" s="1140" t="s">
        <v>1059</v>
      </c>
      <c r="C8" s="1141"/>
      <c r="D8" s="1141"/>
      <c r="E8" s="1142">
        <f t="shared" si="0"/>
        <v>0</v>
      </c>
    </row>
    <row r="9" spans="1:7" s="1147" customFormat="1" ht="19.899999999999999" customHeight="1">
      <c r="A9" s="1143"/>
      <c r="B9" s="1144" t="s">
        <v>195</v>
      </c>
      <c r="C9" s="1221">
        <f>SUM(C7:C8)</f>
        <v>0</v>
      </c>
      <c r="D9" s="1145"/>
      <c r="E9" s="1146">
        <f>SUM(E7:E8)</f>
        <v>0</v>
      </c>
    </row>
    <row r="10" spans="1:7" ht="19.899999999999999" customHeight="1">
      <c r="A10" s="1148"/>
      <c r="B10" s="1149" t="s">
        <v>401</v>
      </c>
      <c r="C10" s="1004"/>
      <c r="D10" s="1004"/>
      <c r="E10" s="299">
        <f>E9*0.2</f>
        <v>0</v>
      </c>
    </row>
    <row r="11" spans="1:7" ht="19.899999999999999" customHeight="1" thickBot="1">
      <c r="A11" s="1150"/>
      <c r="B11" s="1151" t="s">
        <v>723</v>
      </c>
      <c r="C11" s="1152"/>
      <c r="D11" s="1152"/>
      <c r="E11" s="1153">
        <f>E9+E10</f>
        <v>0</v>
      </c>
    </row>
    <row r="12" spans="1:7" ht="20.25" customHeight="1">
      <c r="A12" s="1154"/>
      <c r="B12" s="1154"/>
      <c r="C12" s="1154"/>
      <c r="D12" s="1154"/>
      <c r="E12" s="1155"/>
    </row>
    <row r="13" spans="1:7" ht="35.25" customHeight="1">
      <c r="A13" s="2297"/>
      <c r="B13" s="2297"/>
      <c r="C13" s="116"/>
      <c r="D13" s="116"/>
      <c r="E13" s="1156"/>
      <c r="G13" s="1063"/>
    </row>
    <row r="14" spans="1:7" ht="15">
      <c r="A14" s="2473" t="s">
        <v>126</v>
      </c>
      <c r="B14" s="2473"/>
      <c r="C14" s="1122" t="s">
        <v>124</v>
      </c>
      <c r="D14" s="1122"/>
      <c r="E14" s="119" t="s">
        <v>127</v>
      </c>
    </row>
    <row r="17" spans="1:5" ht="14.25">
      <c r="A17" s="2284" t="s">
        <v>1298</v>
      </c>
      <c r="B17" s="2284"/>
      <c r="C17" s="2284"/>
      <c r="D17" s="2284"/>
      <c r="E17" s="2284"/>
    </row>
    <row r="18" spans="1:5" ht="13.5" thickBot="1">
      <c r="A18" s="2558"/>
      <c r="B18" s="2558"/>
      <c r="C18" s="2558"/>
      <c r="D18" s="2558"/>
      <c r="E18" s="2558"/>
    </row>
    <row r="19" spans="1:5" ht="12.75">
      <c r="A19" s="2550" t="s">
        <v>0</v>
      </c>
      <c r="B19" s="2552" t="s">
        <v>694</v>
      </c>
      <c r="C19" s="2552" t="s">
        <v>697</v>
      </c>
      <c r="D19" s="2554" t="s">
        <v>698</v>
      </c>
      <c r="E19" s="2556" t="s">
        <v>700</v>
      </c>
    </row>
    <row r="20" spans="1:5" ht="13.5" thickBot="1">
      <c r="A20" s="2551"/>
      <c r="B20" s="2553"/>
      <c r="C20" s="2553"/>
      <c r="D20" s="2555"/>
      <c r="E20" s="2557"/>
    </row>
    <row r="21" spans="1:5" ht="15">
      <c r="A21" s="1136">
        <v>1</v>
      </c>
      <c r="B21" s="1137">
        <v>2</v>
      </c>
      <c r="C21" s="1137">
        <v>3</v>
      </c>
      <c r="D21" s="1138">
        <v>4</v>
      </c>
      <c r="E21" s="1139">
        <v>5</v>
      </c>
    </row>
    <row r="22" spans="1:5" ht="15">
      <c r="A22" s="1136">
        <v>2</v>
      </c>
      <c r="B22" s="1140" t="s">
        <v>983</v>
      </c>
      <c r="C22" s="1141"/>
      <c r="D22" s="1141"/>
      <c r="E22" s="1142">
        <f t="shared" ref="E22:E23" si="1">C22*D22</f>
        <v>0</v>
      </c>
    </row>
    <row r="23" spans="1:5" ht="15">
      <c r="A23" s="1136">
        <v>3</v>
      </c>
      <c r="B23" s="1140" t="s">
        <v>1059</v>
      </c>
      <c r="C23" s="1141"/>
      <c r="D23" s="1141"/>
      <c r="E23" s="1142">
        <f t="shared" si="1"/>
        <v>0</v>
      </c>
    </row>
    <row r="24" spans="1:5" ht="15">
      <c r="A24" s="1143"/>
      <c r="B24" s="1144" t="s">
        <v>195</v>
      </c>
      <c r="C24" s="1221">
        <f>SUM(C22:C23)</f>
        <v>0</v>
      </c>
      <c r="D24" s="1145"/>
      <c r="E24" s="1146">
        <f>SUM(E22:E23)</f>
        <v>0</v>
      </c>
    </row>
    <row r="25" spans="1:5">
      <c r="A25" s="1148"/>
      <c r="B25" s="1149" t="s">
        <v>401</v>
      </c>
      <c r="C25" s="1004"/>
      <c r="D25" s="1004"/>
      <c r="E25" s="299">
        <f>E24*0.2</f>
        <v>0</v>
      </c>
    </row>
    <row r="26" spans="1:5" ht="16.5" thickBot="1">
      <c r="A26" s="1150"/>
      <c r="B26" s="1151" t="s">
        <v>723</v>
      </c>
      <c r="C26" s="1152"/>
      <c r="D26" s="1152"/>
      <c r="E26" s="1153">
        <f>E24+E25</f>
        <v>0</v>
      </c>
    </row>
    <row r="27" spans="1:5" ht="12.75">
      <c r="A27" s="1154"/>
      <c r="B27" s="1154"/>
      <c r="C27" s="1154"/>
      <c r="D27" s="1154"/>
      <c r="E27" s="1155"/>
    </row>
    <row r="28" spans="1:5" ht="36" customHeight="1">
      <c r="A28" s="2297"/>
      <c r="B28" s="2297"/>
      <c r="C28" s="116"/>
      <c r="D28" s="116"/>
      <c r="E28" s="1156"/>
    </row>
    <row r="29" spans="1:5" ht="15">
      <c r="A29" s="2473" t="s">
        <v>126</v>
      </c>
      <c r="B29" s="2473"/>
      <c r="C29" s="1807" t="s">
        <v>124</v>
      </c>
      <c r="D29" s="1807"/>
      <c r="E29" s="1806" t="s">
        <v>127</v>
      </c>
    </row>
    <row r="32" spans="1:5" ht="14.25">
      <c r="A32" s="2284" t="s">
        <v>1299</v>
      </c>
      <c r="B32" s="2284"/>
      <c r="C32" s="2284"/>
      <c r="D32" s="2284"/>
      <c r="E32" s="2284"/>
    </row>
    <row r="33" spans="1:5" ht="13.5" thickBot="1">
      <c r="A33" s="2558"/>
      <c r="B33" s="2558"/>
      <c r="C33" s="2558"/>
      <c r="D33" s="2558"/>
      <c r="E33" s="2558"/>
    </row>
    <row r="34" spans="1:5" ht="12.75">
      <c r="A34" s="2550" t="s">
        <v>0</v>
      </c>
      <c r="B34" s="2552" t="s">
        <v>694</v>
      </c>
      <c r="C34" s="2552" t="s">
        <v>697</v>
      </c>
      <c r="D34" s="2554" t="s">
        <v>698</v>
      </c>
      <c r="E34" s="2556" t="s">
        <v>700</v>
      </c>
    </row>
    <row r="35" spans="1:5" ht="13.5" thickBot="1">
      <c r="A35" s="2551"/>
      <c r="B35" s="2553"/>
      <c r="C35" s="2553"/>
      <c r="D35" s="2555"/>
      <c r="E35" s="2557"/>
    </row>
    <row r="36" spans="1:5" ht="15">
      <c r="A36" s="1136">
        <v>1</v>
      </c>
      <c r="B36" s="1137">
        <v>2</v>
      </c>
      <c r="C36" s="1137">
        <v>3</v>
      </c>
      <c r="D36" s="1138">
        <v>4</v>
      </c>
      <c r="E36" s="1139">
        <v>5</v>
      </c>
    </row>
    <row r="37" spans="1:5" ht="15">
      <c r="A37" s="1136">
        <v>2</v>
      </c>
      <c r="B37" s="1140" t="s">
        <v>983</v>
      </c>
      <c r="C37" s="1141"/>
      <c r="D37" s="1141"/>
      <c r="E37" s="1142">
        <f t="shared" ref="E37:E38" si="2">C37*D37</f>
        <v>0</v>
      </c>
    </row>
    <row r="38" spans="1:5" ht="15">
      <c r="A38" s="1136">
        <v>3</v>
      </c>
      <c r="B38" s="1140" t="s">
        <v>1059</v>
      </c>
      <c r="C38" s="1141"/>
      <c r="D38" s="1141"/>
      <c r="E38" s="1142">
        <f t="shared" si="2"/>
        <v>0</v>
      </c>
    </row>
    <row r="39" spans="1:5" ht="15">
      <c r="A39" s="1143"/>
      <c r="B39" s="1144" t="s">
        <v>195</v>
      </c>
      <c r="C39" s="1221">
        <f>SUM(C37:C38)</f>
        <v>0</v>
      </c>
      <c r="D39" s="1145"/>
      <c r="E39" s="1146">
        <f>SUM(E37:E38)</f>
        <v>0</v>
      </c>
    </row>
    <row r="40" spans="1:5">
      <c r="A40" s="1148"/>
      <c r="B40" s="1149" t="s">
        <v>401</v>
      </c>
      <c r="C40" s="1004"/>
      <c r="D40" s="1004"/>
      <c r="E40" s="299">
        <f>E39*0.2</f>
        <v>0</v>
      </c>
    </row>
    <row r="41" spans="1:5" ht="16.5" thickBot="1">
      <c r="A41" s="1150"/>
      <c r="B41" s="1151" t="s">
        <v>723</v>
      </c>
      <c r="C41" s="1152"/>
      <c r="D41" s="1152"/>
      <c r="E41" s="1153">
        <f>E39+E40</f>
        <v>0</v>
      </c>
    </row>
    <row r="42" spans="1:5" ht="12.75">
      <c r="A42" s="1154"/>
      <c r="B42" s="1154"/>
      <c r="C42" s="1154"/>
      <c r="D42" s="1154"/>
      <c r="E42" s="1155"/>
    </row>
    <row r="43" spans="1:5" ht="15">
      <c r="A43" s="2297"/>
      <c r="B43" s="2297"/>
      <c r="C43" s="116"/>
      <c r="D43" s="116"/>
      <c r="E43" s="1156"/>
    </row>
    <row r="44" spans="1:5" ht="15">
      <c r="A44" s="2473" t="s">
        <v>126</v>
      </c>
      <c r="B44" s="2473"/>
      <c r="C44" s="1936" t="s">
        <v>124</v>
      </c>
      <c r="D44" s="1936"/>
      <c r="E44" s="1935" t="s">
        <v>127</v>
      </c>
    </row>
  </sheetData>
  <mergeCells count="28">
    <mergeCell ref="A43:B43"/>
    <mergeCell ref="A44:B44"/>
    <mergeCell ref="A32:E32"/>
    <mergeCell ref="A33:E33"/>
    <mergeCell ref="A34:A35"/>
    <mergeCell ref="B34:B35"/>
    <mergeCell ref="C34:C35"/>
    <mergeCell ref="D34:D35"/>
    <mergeCell ref="E34:E35"/>
    <mergeCell ref="A28:B28"/>
    <mergeCell ref="A29:B29"/>
    <mergeCell ref="A17:E17"/>
    <mergeCell ref="A18:E18"/>
    <mergeCell ref="A19:A20"/>
    <mergeCell ref="B19:B20"/>
    <mergeCell ref="C19:C20"/>
    <mergeCell ref="D19:D20"/>
    <mergeCell ref="E19:E20"/>
    <mergeCell ref="A13:B13"/>
    <mergeCell ref="A14:B14"/>
    <mergeCell ref="A1:E1"/>
    <mergeCell ref="A2:E2"/>
    <mergeCell ref="A4:A5"/>
    <mergeCell ref="B4:B5"/>
    <mergeCell ref="C4:C5"/>
    <mergeCell ref="D4:D5"/>
    <mergeCell ref="E4:E5"/>
    <mergeCell ref="A3:E3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16" workbookViewId="0">
      <selection activeCell="S44" sqref="S44"/>
    </sheetView>
  </sheetViews>
  <sheetFormatPr defaultColWidth="8.85546875" defaultRowHeight="12.75"/>
  <cols>
    <col min="1" max="1" width="3.85546875" style="1" bestFit="1" customWidth="1"/>
    <col min="2" max="2" width="30.28515625" style="1" bestFit="1" customWidth="1"/>
    <col min="3" max="3" width="9" style="1" customWidth="1"/>
    <col min="4" max="5" width="11.28515625" style="1" customWidth="1"/>
    <col min="6" max="6" width="9" style="1" customWidth="1"/>
    <col min="7" max="7" width="11.42578125" style="1" customWidth="1"/>
    <col min="8" max="9" width="9" style="1" customWidth="1"/>
    <col min="10" max="10" width="11.28515625" style="1" customWidth="1"/>
    <col min="11" max="12" width="9" style="1" customWidth="1"/>
    <col min="13" max="13" width="12.28515625" style="1" customWidth="1"/>
    <col min="14" max="15" width="9" style="1" customWidth="1"/>
    <col min="16" max="16" width="14.140625" style="1" customWidth="1"/>
    <col min="17" max="17" width="14.28515625" style="1" customWidth="1"/>
    <col min="18" max="16384" width="8.85546875" style="1758"/>
  </cols>
  <sheetData>
    <row r="1" spans="1:17" s="77" customFormat="1" ht="15.75" thickBot="1">
      <c r="A1" s="2210" t="s">
        <v>110</v>
      </c>
      <c r="B1" s="2212" t="s">
        <v>34</v>
      </c>
      <c r="C1" s="2214" t="s">
        <v>1304</v>
      </c>
      <c r="D1" s="2217" t="s">
        <v>1305</v>
      </c>
      <c r="E1" s="2220" t="s">
        <v>820</v>
      </c>
      <c r="F1" s="2221"/>
      <c r="G1" s="2221"/>
      <c r="H1" s="2221"/>
      <c r="I1" s="2221"/>
      <c r="J1" s="2221"/>
      <c r="K1" s="2221"/>
      <c r="L1" s="2221"/>
      <c r="M1" s="2221"/>
      <c r="N1" s="2221"/>
      <c r="O1" s="2221"/>
      <c r="P1" s="2221"/>
      <c r="Q1" s="1"/>
    </row>
    <row r="2" spans="1:17" s="77" customFormat="1" ht="15">
      <c r="A2" s="2211"/>
      <c r="B2" s="2213"/>
      <c r="C2" s="2215"/>
      <c r="D2" s="2218"/>
      <c r="E2" s="2222" t="s">
        <v>821</v>
      </c>
      <c r="F2" s="2223"/>
      <c r="G2" s="2224"/>
      <c r="H2" s="2225" t="s">
        <v>822</v>
      </c>
      <c r="I2" s="2226"/>
      <c r="J2" s="2227"/>
      <c r="K2" s="2225" t="s">
        <v>1306</v>
      </c>
      <c r="L2" s="2226"/>
      <c r="M2" s="2227"/>
      <c r="N2" s="2225" t="s">
        <v>1307</v>
      </c>
      <c r="O2" s="2226"/>
      <c r="P2" s="2227"/>
      <c r="Q2" s="1"/>
    </row>
    <row r="3" spans="1:17" s="77" customFormat="1" ht="15">
      <c r="A3" s="2211"/>
      <c r="B3" s="2213"/>
      <c r="C3" s="2215"/>
      <c r="D3" s="2218"/>
      <c r="E3" s="1954" t="s">
        <v>1308</v>
      </c>
      <c r="F3" s="1955">
        <f>F48</f>
        <v>60</v>
      </c>
      <c r="G3" s="1956" t="s">
        <v>600</v>
      </c>
      <c r="H3" s="1954" t="s">
        <v>1308</v>
      </c>
      <c r="I3" s="1955">
        <f>I48</f>
        <v>93.272164638850001</v>
      </c>
      <c r="J3" s="1956" t="s">
        <v>600</v>
      </c>
      <c r="K3" s="1954" t="s">
        <v>1308</v>
      </c>
      <c r="L3" s="1955">
        <f>L48</f>
        <v>166.10236795129998</v>
      </c>
      <c r="M3" s="1956" t="s">
        <v>600</v>
      </c>
      <c r="N3" s="1954" t="s">
        <v>1308</v>
      </c>
      <c r="O3" s="1955">
        <f>O48</f>
        <v>26.160227322600008</v>
      </c>
      <c r="P3" s="1956" t="s">
        <v>600</v>
      </c>
      <c r="Q3" s="1"/>
    </row>
    <row r="4" spans="1:17" s="1" customFormat="1" ht="27.75" thickBot="1">
      <c r="A4" s="2211"/>
      <c r="B4" s="2213"/>
      <c r="C4" s="2216"/>
      <c r="D4" s="2219"/>
      <c r="E4" s="1957" t="s">
        <v>1309</v>
      </c>
      <c r="F4" s="1958" t="s">
        <v>1310</v>
      </c>
      <c r="G4" s="1959" t="s">
        <v>1311</v>
      </c>
      <c r="H4" s="1957" t="s">
        <v>1309</v>
      </c>
      <c r="I4" s="1958" t="s">
        <v>1310</v>
      </c>
      <c r="J4" s="1959" t="s">
        <v>1311</v>
      </c>
      <c r="K4" s="1957" t="s">
        <v>1309</v>
      </c>
      <c r="L4" s="1958" t="s">
        <v>1310</v>
      </c>
      <c r="M4" s="1959" t="s">
        <v>1311</v>
      </c>
      <c r="N4" s="1957" t="s">
        <v>1309</v>
      </c>
      <c r="O4" s="1958" t="s">
        <v>1310</v>
      </c>
      <c r="P4" s="1959" t="s">
        <v>1311</v>
      </c>
    </row>
    <row r="5" spans="1:17" s="77" customFormat="1" ht="15">
      <c r="A5" s="1960">
        <v>1</v>
      </c>
      <c r="B5" s="1961" t="s">
        <v>1312</v>
      </c>
      <c r="C5" s="1304"/>
      <c r="D5" s="1962"/>
      <c r="E5" s="1963"/>
      <c r="F5" s="1964"/>
      <c r="G5" s="1965"/>
      <c r="H5" s="1966"/>
      <c r="I5" s="1967"/>
      <c r="J5" s="1968"/>
      <c r="K5" s="1966"/>
      <c r="L5" s="1304"/>
      <c r="M5" s="1968"/>
      <c r="N5" s="1966"/>
      <c r="O5" s="1304"/>
      <c r="P5" s="1968"/>
      <c r="Q5" s="1"/>
    </row>
    <row r="6" spans="1:17" s="77" customFormat="1" ht="15">
      <c r="A6" s="1960"/>
      <c r="B6" s="1969"/>
      <c r="C6" s="1970" t="s">
        <v>98</v>
      </c>
      <c r="D6" s="1971"/>
      <c r="E6" s="1972"/>
      <c r="F6" s="1967">
        <f>E6*$F$3</f>
        <v>0</v>
      </c>
      <c r="G6" s="978">
        <f t="shared" ref="G6:G33" si="0">F6*D6</f>
        <v>0</v>
      </c>
      <c r="H6" s="1972"/>
      <c r="I6" s="1967">
        <f>H6*$F$3</f>
        <v>0</v>
      </c>
      <c r="J6" s="978">
        <f t="shared" ref="J6:J33" si="1">I6*G6</f>
        <v>0</v>
      </c>
      <c r="K6" s="1972"/>
      <c r="L6" s="1967">
        <f>K6*$F$3</f>
        <v>0</v>
      </c>
      <c r="M6" s="978">
        <f t="shared" ref="M6:M33" si="2">L6*J6</f>
        <v>0</v>
      </c>
      <c r="N6" s="1972"/>
      <c r="O6" s="1967">
        <f>N6*$F$3</f>
        <v>0</v>
      </c>
      <c r="P6" s="978">
        <f t="shared" ref="P6:P33" si="3">O6*M6</f>
        <v>0</v>
      </c>
      <c r="Q6" s="1"/>
    </row>
    <row r="7" spans="1:17" s="58" customFormat="1">
      <c r="A7" s="1960"/>
      <c r="B7" s="1969"/>
      <c r="C7" s="1970" t="s">
        <v>98</v>
      </c>
      <c r="D7" s="1971"/>
      <c r="E7" s="1972"/>
      <c r="F7" s="1967">
        <f t="shared" ref="F7:F33" si="4">E7*$F$3</f>
        <v>0</v>
      </c>
      <c r="G7" s="978">
        <f t="shared" si="0"/>
        <v>0</v>
      </c>
      <c r="H7" s="1972"/>
      <c r="I7" s="1967">
        <f t="shared" ref="I7:I33" si="5">H7*$F$3</f>
        <v>0</v>
      </c>
      <c r="J7" s="978">
        <f t="shared" si="1"/>
        <v>0</v>
      </c>
      <c r="K7" s="1972"/>
      <c r="L7" s="1967">
        <f t="shared" ref="L7:L33" si="6">K7*$F$3</f>
        <v>0</v>
      </c>
      <c r="M7" s="978">
        <f t="shared" si="2"/>
        <v>0</v>
      </c>
      <c r="N7" s="1972"/>
      <c r="O7" s="1967">
        <f t="shared" ref="O7:O33" si="7">N7*$F$3</f>
        <v>0</v>
      </c>
      <c r="P7" s="978">
        <f t="shared" si="3"/>
        <v>0</v>
      </c>
      <c r="Q7" s="1"/>
    </row>
    <row r="8" spans="1:17">
      <c r="A8" s="1960"/>
      <c r="B8" s="1969"/>
      <c r="C8" s="1970" t="s">
        <v>98</v>
      </c>
      <c r="D8" s="1971"/>
      <c r="E8" s="1972"/>
      <c r="F8" s="1967">
        <f t="shared" si="4"/>
        <v>0</v>
      </c>
      <c r="G8" s="978">
        <f t="shared" si="0"/>
        <v>0</v>
      </c>
      <c r="H8" s="1972"/>
      <c r="I8" s="1967">
        <f t="shared" si="5"/>
        <v>0</v>
      </c>
      <c r="J8" s="978">
        <f t="shared" si="1"/>
        <v>0</v>
      </c>
      <c r="K8" s="1972"/>
      <c r="L8" s="1967">
        <f t="shared" si="6"/>
        <v>0</v>
      </c>
      <c r="M8" s="978">
        <f t="shared" si="2"/>
        <v>0</v>
      </c>
      <c r="N8" s="1972"/>
      <c r="O8" s="1967">
        <f t="shared" si="7"/>
        <v>0</v>
      </c>
      <c r="P8" s="978">
        <f t="shared" si="3"/>
        <v>0</v>
      </c>
    </row>
    <row r="9" spans="1:17" s="77" customFormat="1" ht="15">
      <c r="A9" s="1973"/>
      <c r="B9" s="1974"/>
      <c r="C9" s="1970" t="s">
        <v>98</v>
      </c>
      <c r="D9" s="1971"/>
      <c r="E9" s="1972"/>
      <c r="F9" s="1967">
        <f t="shared" si="4"/>
        <v>0</v>
      </c>
      <c r="G9" s="978">
        <f t="shared" si="0"/>
        <v>0</v>
      </c>
      <c r="H9" s="1972"/>
      <c r="I9" s="1967">
        <f t="shared" si="5"/>
        <v>0</v>
      </c>
      <c r="J9" s="978">
        <f t="shared" si="1"/>
        <v>0</v>
      </c>
      <c r="K9" s="1972"/>
      <c r="L9" s="1967">
        <f t="shared" si="6"/>
        <v>0</v>
      </c>
      <c r="M9" s="978">
        <f t="shared" si="2"/>
        <v>0</v>
      </c>
      <c r="N9" s="1972"/>
      <c r="O9" s="1967">
        <f t="shared" si="7"/>
        <v>0</v>
      </c>
      <c r="P9" s="978">
        <f t="shared" si="3"/>
        <v>0</v>
      </c>
      <c r="Q9" s="1"/>
    </row>
    <row r="10" spans="1:17" s="77" customFormat="1" ht="15">
      <c r="A10" s="1973"/>
      <c r="B10" s="1974"/>
      <c r="C10" s="1970" t="s">
        <v>98</v>
      </c>
      <c r="D10" s="1971"/>
      <c r="E10" s="1972"/>
      <c r="F10" s="1967">
        <f t="shared" si="4"/>
        <v>0</v>
      </c>
      <c r="G10" s="978">
        <f t="shared" si="0"/>
        <v>0</v>
      </c>
      <c r="H10" s="1972"/>
      <c r="I10" s="1967">
        <f t="shared" si="5"/>
        <v>0</v>
      </c>
      <c r="J10" s="978">
        <f t="shared" si="1"/>
        <v>0</v>
      </c>
      <c r="K10" s="1972"/>
      <c r="L10" s="1967">
        <f t="shared" si="6"/>
        <v>0</v>
      </c>
      <c r="M10" s="978">
        <f t="shared" si="2"/>
        <v>0</v>
      </c>
      <c r="N10" s="1972"/>
      <c r="O10" s="1967">
        <f t="shared" si="7"/>
        <v>0</v>
      </c>
      <c r="P10" s="978">
        <f t="shared" si="3"/>
        <v>0</v>
      </c>
      <c r="Q10" s="1"/>
    </row>
    <row r="11" spans="1:17" s="77" customFormat="1" ht="15">
      <c r="A11" s="1973"/>
      <c r="B11" s="1974"/>
      <c r="C11" s="1970" t="s">
        <v>98</v>
      </c>
      <c r="D11" s="1971"/>
      <c r="E11" s="1972"/>
      <c r="F11" s="1967">
        <f t="shared" si="4"/>
        <v>0</v>
      </c>
      <c r="G11" s="978">
        <f t="shared" si="0"/>
        <v>0</v>
      </c>
      <c r="H11" s="1972"/>
      <c r="I11" s="1967">
        <f t="shared" si="5"/>
        <v>0</v>
      </c>
      <c r="J11" s="978">
        <f t="shared" si="1"/>
        <v>0</v>
      </c>
      <c r="K11" s="1972"/>
      <c r="L11" s="1967">
        <f t="shared" si="6"/>
        <v>0</v>
      </c>
      <c r="M11" s="978">
        <f t="shared" si="2"/>
        <v>0</v>
      </c>
      <c r="N11" s="1972"/>
      <c r="O11" s="1967">
        <f t="shared" si="7"/>
        <v>0</v>
      </c>
      <c r="P11" s="978">
        <f t="shared" si="3"/>
        <v>0</v>
      </c>
      <c r="Q11" s="1"/>
    </row>
    <row r="12" spans="1:17" s="77" customFormat="1" ht="15">
      <c r="A12" s="1973"/>
      <c r="B12" s="1969"/>
      <c r="C12" s="1970" t="s">
        <v>98</v>
      </c>
      <c r="D12" s="1971"/>
      <c r="E12" s="1972"/>
      <c r="F12" s="1967">
        <f t="shared" si="4"/>
        <v>0</v>
      </c>
      <c r="G12" s="978">
        <f t="shared" si="0"/>
        <v>0</v>
      </c>
      <c r="H12" s="1972"/>
      <c r="I12" s="1967">
        <f t="shared" si="5"/>
        <v>0</v>
      </c>
      <c r="J12" s="978">
        <f t="shared" si="1"/>
        <v>0</v>
      </c>
      <c r="K12" s="1972"/>
      <c r="L12" s="1967">
        <f t="shared" si="6"/>
        <v>0</v>
      </c>
      <c r="M12" s="978">
        <f t="shared" si="2"/>
        <v>0</v>
      </c>
      <c r="N12" s="1972"/>
      <c r="O12" s="1967">
        <f t="shared" si="7"/>
        <v>0</v>
      </c>
      <c r="P12" s="978">
        <f t="shared" si="3"/>
        <v>0</v>
      </c>
      <c r="Q12" s="1"/>
    </row>
    <row r="13" spans="1:17" s="77" customFormat="1" ht="15">
      <c r="A13" s="1975"/>
      <c r="B13" s="1976"/>
      <c r="C13" s="1970" t="s">
        <v>98</v>
      </c>
      <c r="D13" s="1971"/>
      <c r="E13" s="1972"/>
      <c r="F13" s="1967">
        <f t="shared" si="4"/>
        <v>0</v>
      </c>
      <c r="G13" s="978">
        <f t="shared" si="0"/>
        <v>0</v>
      </c>
      <c r="H13" s="1972"/>
      <c r="I13" s="1967">
        <f t="shared" si="5"/>
        <v>0</v>
      </c>
      <c r="J13" s="978">
        <f t="shared" si="1"/>
        <v>0</v>
      </c>
      <c r="K13" s="1972"/>
      <c r="L13" s="1967">
        <f t="shared" si="6"/>
        <v>0</v>
      </c>
      <c r="M13" s="978">
        <f t="shared" si="2"/>
        <v>0</v>
      </c>
      <c r="N13" s="1972"/>
      <c r="O13" s="1967">
        <f t="shared" si="7"/>
        <v>0</v>
      </c>
      <c r="P13" s="978">
        <f t="shared" si="3"/>
        <v>0</v>
      </c>
      <c r="Q13" s="1"/>
    </row>
    <row r="14" spans="1:17" s="77" customFormat="1" ht="15">
      <c r="A14" s="1977"/>
      <c r="B14" s="1974"/>
      <c r="C14" s="1970" t="s">
        <v>98</v>
      </c>
      <c r="D14" s="1971"/>
      <c r="E14" s="1972"/>
      <c r="F14" s="1967">
        <f t="shared" si="4"/>
        <v>0</v>
      </c>
      <c r="G14" s="978">
        <f t="shared" si="0"/>
        <v>0</v>
      </c>
      <c r="H14" s="1972"/>
      <c r="I14" s="1967">
        <f t="shared" si="5"/>
        <v>0</v>
      </c>
      <c r="J14" s="978">
        <f t="shared" si="1"/>
        <v>0</v>
      </c>
      <c r="K14" s="1972"/>
      <c r="L14" s="1967">
        <f t="shared" si="6"/>
        <v>0</v>
      </c>
      <c r="M14" s="978">
        <f t="shared" si="2"/>
        <v>0</v>
      </c>
      <c r="N14" s="1972"/>
      <c r="O14" s="1967">
        <f t="shared" si="7"/>
        <v>0</v>
      </c>
      <c r="P14" s="978">
        <f t="shared" si="3"/>
        <v>0</v>
      </c>
      <c r="Q14" s="1"/>
    </row>
    <row r="15" spans="1:17" s="77" customFormat="1" ht="15">
      <c r="A15" s="1960"/>
      <c r="B15" s="1969"/>
      <c r="C15" s="1970" t="s">
        <v>98</v>
      </c>
      <c r="D15" s="1971"/>
      <c r="E15" s="1972"/>
      <c r="F15" s="1967">
        <f t="shared" si="4"/>
        <v>0</v>
      </c>
      <c r="G15" s="978">
        <f t="shared" si="0"/>
        <v>0</v>
      </c>
      <c r="H15" s="1972"/>
      <c r="I15" s="1967">
        <f t="shared" si="5"/>
        <v>0</v>
      </c>
      <c r="J15" s="978">
        <f t="shared" si="1"/>
        <v>0</v>
      </c>
      <c r="K15" s="1972"/>
      <c r="L15" s="1967">
        <f t="shared" si="6"/>
        <v>0</v>
      </c>
      <c r="M15" s="978">
        <f t="shared" si="2"/>
        <v>0</v>
      </c>
      <c r="N15" s="1972"/>
      <c r="O15" s="1967">
        <f t="shared" si="7"/>
        <v>0</v>
      </c>
      <c r="P15" s="978">
        <f t="shared" si="3"/>
        <v>0</v>
      </c>
      <c r="Q15" s="1"/>
    </row>
    <row r="16" spans="1:17" s="77" customFormat="1" ht="15">
      <c r="A16" s="1960"/>
      <c r="B16" s="1969"/>
      <c r="C16" s="1970" t="s">
        <v>98</v>
      </c>
      <c r="D16" s="1971"/>
      <c r="E16" s="1972"/>
      <c r="F16" s="1967">
        <f t="shared" si="4"/>
        <v>0</v>
      </c>
      <c r="G16" s="978">
        <f t="shared" si="0"/>
        <v>0</v>
      </c>
      <c r="H16" s="1972"/>
      <c r="I16" s="1967">
        <f t="shared" si="5"/>
        <v>0</v>
      </c>
      <c r="J16" s="978">
        <f t="shared" si="1"/>
        <v>0</v>
      </c>
      <c r="K16" s="1972"/>
      <c r="L16" s="1967">
        <f t="shared" si="6"/>
        <v>0</v>
      </c>
      <c r="M16" s="978">
        <f t="shared" si="2"/>
        <v>0</v>
      </c>
      <c r="N16" s="1972"/>
      <c r="O16" s="1967">
        <f t="shared" si="7"/>
        <v>0</v>
      </c>
      <c r="P16" s="978">
        <f t="shared" si="3"/>
        <v>0</v>
      </c>
      <c r="Q16" s="1"/>
    </row>
    <row r="17" spans="1:17" s="77" customFormat="1" ht="15">
      <c r="A17" s="1960"/>
      <c r="B17" s="1969"/>
      <c r="C17" s="1970" t="s">
        <v>98</v>
      </c>
      <c r="D17" s="1971"/>
      <c r="E17" s="1972"/>
      <c r="F17" s="1967">
        <f t="shared" si="4"/>
        <v>0</v>
      </c>
      <c r="G17" s="978">
        <f t="shared" si="0"/>
        <v>0</v>
      </c>
      <c r="H17" s="1972"/>
      <c r="I17" s="1967">
        <f t="shared" si="5"/>
        <v>0</v>
      </c>
      <c r="J17" s="978">
        <f t="shared" si="1"/>
        <v>0</v>
      </c>
      <c r="K17" s="1972"/>
      <c r="L17" s="1967">
        <f t="shared" si="6"/>
        <v>0</v>
      </c>
      <c r="M17" s="978">
        <f t="shared" si="2"/>
        <v>0</v>
      </c>
      <c r="N17" s="1972"/>
      <c r="O17" s="1967">
        <f t="shared" si="7"/>
        <v>0</v>
      </c>
      <c r="P17" s="978">
        <f t="shared" si="3"/>
        <v>0</v>
      </c>
      <c r="Q17" s="1"/>
    </row>
    <row r="18" spans="1:17" s="77" customFormat="1" ht="15">
      <c r="A18" s="1960"/>
      <c r="B18" s="1969"/>
      <c r="C18" s="1970" t="s">
        <v>98</v>
      </c>
      <c r="D18" s="1971"/>
      <c r="E18" s="1972"/>
      <c r="F18" s="1967">
        <f t="shared" si="4"/>
        <v>0</v>
      </c>
      <c r="G18" s="978">
        <f t="shared" si="0"/>
        <v>0</v>
      </c>
      <c r="H18" s="1972"/>
      <c r="I18" s="1967">
        <f t="shared" si="5"/>
        <v>0</v>
      </c>
      <c r="J18" s="978">
        <f t="shared" si="1"/>
        <v>0</v>
      </c>
      <c r="K18" s="1972"/>
      <c r="L18" s="1967">
        <f t="shared" si="6"/>
        <v>0</v>
      </c>
      <c r="M18" s="978">
        <f t="shared" si="2"/>
        <v>0</v>
      </c>
      <c r="N18" s="1972"/>
      <c r="O18" s="1967">
        <f t="shared" si="7"/>
        <v>0</v>
      </c>
      <c r="P18" s="978">
        <f t="shared" si="3"/>
        <v>0</v>
      </c>
      <c r="Q18" s="1"/>
    </row>
    <row r="19" spans="1:17" s="77" customFormat="1" ht="15">
      <c r="A19" s="1960"/>
      <c r="B19" s="1969"/>
      <c r="C19" s="1970" t="s">
        <v>98</v>
      </c>
      <c r="D19" s="1971"/>
      <c r="E19" s="1972"/>
      <c r="F19" s="1967">
        <f t="shared" si="4"/>
        <v>0</v>
      </c>
      <c r="G19" s="978">
        <f t="shared" si="0"/>
        <v>0</v>
      </c>
      <c r="H19" s="1972"/>
      <c r="I19" s="1967">
        <f t="shared" si="5"/>
        <v>0</v>
      </c>
      <c r="J19" s="978">
        <f t="shared" si="1"/>
        <v>0</v>
      </c>
      <c r="K19" s="1972"/>
      <c r="L19" s="1967">
        <f t="shared" si="6"/>
        <v>0</v>
      </c>
      <c r="M19" s="978">
        <f t="shared" si="2"/>
        <v>0</v>
      </c>
      <c r="N19" s="1972"/>
      <c r="O19" s="1967">
        <f t="shared" si="7"/>
        <v>0</v>
      </c>
      <c r="P19" s="978">
        <f t="shared" si="3"/>
        <v>0</v>
      </c>
      <c r="Q19" s="1"/>
    </row>
    <row r="20" spans="1:17" s="77" customFormat="1" ht="15">
      <c r="A20" s="1960"/>
      <c r="B20" s="1969"/>
      <c r="C20" s="1970" t="s">
        <v>98</v>
      </c>
      <c r="D20" s="1971"/>
      <c r="E20" s="1972"/>
      <c r="F20" s="1967">
        <f t="shared" si="4"/>
        <v>0</v>
      </c>
      <c r="G20" s="978">
        <f t="shared" si="0"/>
        <v>0</v>
      </c>
      <c r="H20" s="1972"/>
      <c r="I20" s="1967">
        <f t="shared" si="5"/>
        <v>0</v>
      </c>
      <c r="J20" s="978">
        <f t="shared" si="1"/>
        <v>0</v>
      </c>
      <c r="K20" s="1972"/>
      <c r="L20" s="1967">
        <f t="shared" si="6"/>
        <v>0</v>
      </c>
      <c r="M20" s="978">
        <f t="shared" si="2"/>
        <v>0</v>
      </c>
      <c r="N20" s="1972"/>
      <c r="O20" s="1967">
        <f t="shared" si="7"/>
        <v>0</v>
      </c>
      <c r="P20" s="978">
        <f t="shared" si="3"/>
        <v>0</v>
      </c>
      <c r="Q20" s="1"/>
    </row>
    <row r="21" spans="1:17" s="77" customFormat="1" ht="15">
      <c r="A21" s="1960"/>
      <c r="B21" s="1969"/>
      <c r="C21" s="1970" t="s">
        <v>98</v>
      </c>
      <c r="D21" s="1971"/>
      <c r="E21" s="1972"/>
      <c r="F21" s="1967">
        <f t="shared" si="4"/>
        <v>0</v>
      </c>
      <c r="G21" s="978">
        <f t="shared" si="0"/>
        <v>0</v>
      </c>
      <c r="H21" s="1972"/>
      <c r="I21" s="1967">
        <f t="shared" si="5"/>
        <v>0</v>
      </c>
      <c r="J21" s="978">
        <f t="shared" si="1"/>
        <v>0</v>
      </c>
      <c r="K21" s="1972"/>
      <c r="L21" s="1967">
        <f t="shared" si="6"/>
        <v>0</v>
      </c>
      <c r="M21" s="978">
        <f t="shared" si="2"/>
        <v>0</v>
      </c>
      <c r="N21" s="1972"/>
      <c r="O21" s="1967">
        <f t="shared" si="7"/>
        <v>0</v>
      </c>
      <c r="P21" s="978">
        <f t="shared" si="3"/>
        <v>0</v>
      </c>
      <c r="Q21" s="1"/>
    </row>
    <row r="22" spans="1:17">
      <c r="A22" s="1960"/>
      <c r="B22" s="1969"/>
      <c r="C22" s="1970" t="s">
        <v>98</v>
      </c>
      <c r="D22" s="1971"/>
      <c r="E22" s="1972"/>
      <c r="F22" s="1967">
        <f t="shared" si="4"/>
        <v>0</v>
      </c>
      <c r="G22" s="978">
        <f t="shared" si="0"/>
        <v>0</v>
      </c>
      <c r="H22" s="1972"/>
      <c r="I22" s="1967">
        <f t="shared" si="5"/>
        <v>0</v>
      </c>
      <c r="J22" s="978">
        <f t="shared" si="1"/>
        <v>0</v>
      </c>
      <c r="K22" s="1972"/>
      <c r="L22" s="1967">
        <f t="shared" si="6"/>
        <v>0</v>
      </c>
      <c r="M22" s="978">
        <f t="shared" si="2"/>
        <v>0</v>
      </c>
      <c r="N22" s="1972"/>
      <c r="O22" s="1967">
        <f t="shared" si="7"/>
        <v>0</v>
      </c>
      <c r="P22" s="978">
        <f t="shared" si="3"/>
        <v>0</v>
      </c>
    </row>
    <row r="23" spans="1:17">
      <c r="A23" s="1960"/>
      <c r="B23" s="1969"/>
      <c r="C23" s="1970" t="s">
        <v>98</v>
      </c>
      <c r="D23" s="1971"/>
      <c r="E23" s="1972"/>
      <c r="F23" s="1967">
        <f t="shared" si="4"/>
        <v>0</v>
      </c>
      <c r="G23" s="978">
        <f t="shared" si="0"/>
        <v>0</v>
      </c>
      <c r="H23" s="1972"/>
      <c r="I23" s="1967">
        <f t="shared" si="5"/>
        <v>0</v>
      </c>
      <c r="J23" s="978">
        <f t="shared" si="1"/>
        <v>0</v>
      </c>
      <c r="K23" s="1972"/>
      <c r="L23" s="1967">
        <f t="shared" si="6"/>
        <v>0</v>
      </c>
      <c r="M23" s="978">
        <f t="shared" si="2"/>
        <v>0</v>
      </c>
      <c r="N23" s="1972"/>
      <c r="O23" s="1967">
        <f t="shared" si="7"/>
        <v>0</v>
      </c>
      <c r="P23" s="978">
        <f t="shared" si="3"/>
        <v>0</v>
      </c>
    </row>
    <row r="24" spans="1:17">
      <c r="A24" s="1960"/>
      <c r="B24" s="1969"/>
      <c r="C24" s="1970" t="s">
        <v>98</v>
      </c>
      <c r="D24" s="1971"/>
      <c r="E24" s="1972"/>
      <c r="F24" s="1967">
        <f t="shared" si="4"/>
        <v>0</v>
      </c>
      <c r="G24" s="978">
        <f t="shared" si="0"/>
        <v>0</v>
      </c>
      <c r="H24" s="1972"/>
      <c r="I24" s="1967">
        <f t="shared" si="5"/>
        <v>0</v>
      </c>
      <c r="J24" s="978">
        <f t="shared" si="1"/>
        <v>0</v>
      </c>
      <c r="K24" s="1972"/>
      <c r="L24" s="1967">
        <f t="shared" si="6"/>
        <v>0</v>
      </c>
      <c r="M24" s="978">
        <f t="shared" si="2"/>
        <v>0</v>
      </c>
      <c r="N24" s="1972"/>
      <c r="O24" s="1967">
        <f t="shared" si="7"/>
        <v>0</v>
      </c>
      <c r="P24" s="978">
        <f t="shared" si="3"/>
        <v>0</v>
      </c>
    </row>
    <row r="25" spans="1:17">
      <c r="A25" s="1960"/>
      <c r="B25" s="1969"/>
      <c r="C25" s="1970" t="s">
        <v>98</v>
      </c>
      <c r="D25" s="1971"/>
      <c r="E25" s="1972"/>
      <c r="F25" s="1967">
        <f t="shared" si="4"/>
        <v>0</v>
      </c>
      <c r="G25" s="978">
        <f t="shared" si="0"/>
        <v>0</v>
      </c>
      <c r="H25" s="1972"/>
      <c r="I25" s="1967">
        <f t="shared" si="5"/>
        <v>0</v>
      </c>
      <c r="J25" s="978">
        <f t="shared" si="1"/>
        <v>0</v>
      </c>
      <c r="K25" s="1972"/>
      <c r="L25" s="1967">
        <f t="shared" si="6"/>
        <v>0</v>
      </c>
      <c r="M25" s="978">
        <f t="shared" si="2"/>
        <v>0</v>
      </c>
      <c r="N25" s="1972"/>
      <c r="O25" s="1967">
        <f t="shared" si="7"/>
        <v>0</v>
      </c>
      <c r="P25" s="978">
        <f t="shared" si="3"/>
        <v>0</v>
      </c>
    </row>
    <row r="26" spans="1:17">
      <c r="A26" s="1973"/>
      <c r="B26" s="1974"/>
      <c r="C26" s="1970" t="s">
        <v>98</v>
      </c>
      <c r="D26" s="1971"/>
      <c r="E26" s="1972"/>
      <c r="F26" s="1967">
        <f t="shared" si="4"/>
        <v>0</v>
      </c>
      <c r="G26" s="978">
        <f t="shared" si="0"/>
        <v>0</v>
      </c>
      <c r="H26" s="1972"/>
      <c r="I26" s="1967">
        <f t="shared" si="5"/>
        <v>0</v>
      </c>
      <c r="J26" s="978">
        <f t="shared" si="1"/>
        <v>0</v>
      </c>
      <c r="K26" s="1972"/>
      <c r="L26" s="1967">
        <f t="shared" si="6"/>
        <v>0</v>
      </c>
      <c r="M26" s="978">
        <f t="shared" si="2"/>
        <v>0</v>
      </c>
      <c r="N26" s="1972"/>
      <c r="O26" s="1967">
        <f t="shared" si="7"/>
        <v>0</v>
      </c>
      <c r="P26" s="978">
        <f t="shared" si="3"/>
        <v>0</v>
      </c>
    </row>
    <row r="27" spans="1:17">
      <c r="A27" s="1973"/>
      <c r="B27" s="1974"/>
      <c r="C27" s="1970" t="s">
        <v>98</v>
      </c>
      <c r="D27" s="1971"/>
      <c r="E27" s="1972"/>
      <c r="F27" s="1967">
        <f t="shared" si="4"/>
        <v>0</v>
      </c>
      <c r="G27" s="978">
        <f t="shared" si="0"/>
        <v>0</v>
      </c>
      <c r="H27" s="1972"/>
      <c r="I27" s="1967">
        <f t="shared" si="5"/>
        <v>0</v>
      </c>
      <c r="J27" s="978">
        <f t="shared" si="1"/>
        <v>0</v>
      </c>
      <c r="K27" s="1972"/>
      <c r="L27" s="1967">
        <f t="shared" si="6"/>
        <v>0</v>
      </c>
      <c r="M27" s="978">
        <f t="shared" si="2"/>
        <v>0</v>
      </c>
      <c r="N27" s="1972"/>
      <c r="O27" s="1967">
        <f t="shared" si="7"/>
        <v>0</v>
      </c>
      <c r="P27" s="978">
        <f t="shared" si="3"/>
        <v>0</v>
      </c>
    </row>
    <row r="28" spans="1:17">
      <c r="A28" s="1978"/>
      <c r="B28" s="1979"/>
      <c r="C28" s="1970" t="s">
        <v>98</v>
      </c>
      <c r="D28" s="1971"/>
      <c r="E28" s="1972"/>
      <c r="F28" s="1967">
        <f t="shared" si="4"/>
        <v>0</v>
      </c>
      <c r="G28" s="978">
        <f t="shared" si="0"/>
        <v>0</v>
      </c>
      <c r="H28" s="1972"/>
      <c r="I28" s="1967">
        <f t="shared" si="5"/>
        <v>0</v>
      </c>
      <c r="J28" s="978">
        <f t="shared" si="1"/>
        <v>0</v>
      </c>
      <c r="K28" s="1972"/>
      <c r="L28" s="1967">
        <f t="shared" si="6"/>
        <v>0</v>
      </c>
      <c r="M28" s="978">
        <f t="shared" si="2"/>
        <v>0</v>
      </c>
      <c r="N28" s="1972"/>
      <c r="O28" s="1967">
        <f t="shared" si="7"/>
        <v>0</v>
      </c>
      <c r="P28" s="978">
        <f t="shared" si="3"/>
        <v>0</v>
      </c>
    </row>
    <row r="29" spans="1:17">
      <c r="A29" s="1978"/>
      <c r="B29" s="1979"/>
      <c r="C29" s="1970" t="s">
        <v>98</v>
      </c>
      <c r="D29" s="1971"/>
      <c r="E29" s="1972"/>
      <c r="F29" s="1967">
        <f t="shared" si="4"/>
        <v>0</v>
      </c>
      <c r="G29" s="978">
        <f t="shared" si="0"/>
        <v>0</v>
      </c>
      <c r="H29" s="1972"/>
      <c r="I29" s="1967">
        <f t="shared" si="5"/>
        <v>0</v>
      </c>
      <c r="J29" s="978">
        <f t="shared" si="1"/>
        <v>0</v>
      </c>
      <c r="K29" s="1972"/>
      <c r="L29" s="1967">
        <f t="shared" si="6"/>
        <v>0</v>
      </c>
      <c r="M29" s="978">
        <f t="shared" si="2"/>
        <v>0</v>
      </c>
      <c r="N29" s="1972"/>
      <c r="O29" s="1967">
        <f t="shared" si="7"/>
        <v>0</v>
      </c>
      <c r="P29" s="978">
        <f t="shared" si="3"/>
        <v>0</v>
      </c>
    </row>
    <row r="30" spans="1:17">
      <c r="A30" s="1978"/>
      <c r="B30" s="1979"/>
      <c r="C30" s="1970" t="s">
        <v>98</v>
      </c>
      <c r="D30" s="1971"/>
      <c r="E30" s="1972"/>
      <c r="F30" s="1967">
        <f t="shared" si="4"/>
        <v>0</v>
      </c>
      <c r="G30" s="978">
        <f t="shared" si="0"/>
        <v>0</v>
      </c>
      <c r="H30" s="1972"/>
      <c r="I30" s="1967">
        <f t="shared" si="5"/>
        <v>0</v>
      </c>
      <c r="J30" s="978">
        <f t="shared" si="1"/>
        <v>0</v>
      </c>
      <c r="K30" s="1972"/>
      <c r="L30" s="1967">
        <f t="shared" si="6"/>
        <v>0</v>
      </c>
      <c r="M30" s="978">
        <f t="shared" si="2"/>
        <v>0</v>
      </c>
      <c r="N30" s="1972"/>
      <c r="O30" s="1967">
        <f t="shared" si="7"/>
        <v>0</v>
      </c>
      <c r="P30" s="978">
        <f t="shared" si="3"/>
        <v>0</v>
      </c>
    </row>
    <row r="31" spans="1:17">
      <c r="A31" s="1978"/>
      <c r="B31" s="1979"/>
      <c r="C31" s="1970" t="s">
        <v>98</v>
      </c>
      <c r="D31" s="1971"/>
      <c r="E31" s="1972"/>
      <c r="F31" s="1967">
        <f t="shared" si="4"/>
        <v>0</v>
      </c>
      <c r="G31" s="978">
        <f t="shared" si="0"/>
        <v>0</v>
      </c>
      <c r="H31" s="1972"/>
      <c r="I31" s="1967">
        <f t="shared" si="5"/>
        <v>0</v>
      </c>
      <c r="J31" s="978">
        <f t="shared" si="1"/>
        <v>0</v>
      </c>
      <c r="K31" s="1972"/>
      <c r="L31" s="1967">
        <f t="shared" si="6"/>
        <v>0</v>
      </c>
      <c r="M31" s="978">
        <f t="shared" si="2"/>
        <v>0</v>
      </c>
      <c r="N31" s="1972"/>
      <c r="O31" s="1967">
        <f t="shared" si="7"/>
        <v>0</v>
      </c>
      <c r="P31" s="978">
        <f t="shared" si="3"/>
        <v>0</v>
      </c>
    </row>
    <row r="32" spans="1:17">
      <c r="A32" s="1978"/>
      <c r="B32" s="1980"/>
      <c r="C32" s="1981" t="s">
        <v>98</v>
      </c>
      <c r="D32" s="1971"/>
      <c r="E32" s="1972"/>
      <c r="F32" s="1967">
        <f t="shared" si="4"/>
        <v>0</v>
      </c>
      <c r="G32" s="978">
        <f t="shared" si="0"/>
        <v>0</v>
      </c>
      <c r="H32" s="1972"/>
      <c r="I32" s="1967">
        <f t="shared" si="5"/>
        <v>0</v>
      </c>
      <c r="J32" s="978">
        <f t="shared" si="1"/>
        <v>0</v>
      </c>
      <c r="K32" s="1972"/>
      <c r="L32" s="1967">
        <f t="shared" si="6"/>
        <v>0</v>
      </c>
      <c r="M32" s="978">
        <f t="shared" si="2"/>
        <v>0</v>
      </c>
      <c r="N32" s="1972"/>
      <c r="O32" s="1967">
        <f t="shared" si="7"/>
        <v>0</v>
      </c>
      <c r="P32" s="978">
        <f t="shared" si="3"/>
        <v>0</v>
      </c>
    </row>
    <row r="33" spans="1:17">
      <c r="A33" s="1978"/>
      <c r="B33" s="1979"/>
      <c r="C33" s="1970" t="s">
        <v>98</v>
      </c>
      <c r="D33" s="1982"/>
      <c r="E33" s="1972"/>
      <c r="F33" s="1967">
        <f t="shared" si="4"/>
        <v>0</v>
      </c>
      <c r="G33" s="978">
        <f t="shared" si="0"/>
        <v>0</v>
      </c>
      <c r="H33" s="1972"/>
      <c r="I33" s="1967">
        <f t="shared" si="5"/>
        <v>0</v>
      </c>
      <c r="J33" s="978">
        <f t="shared" si="1"/>
        <v>0</v>
      </c>
      <c r="K33" s="1972"/>
      <c r="L33" s="1967">
        <f t="shared" si="6"/>
        <v>0</v>
      </c>
      <c r="M33" s="978">
        <f t="shared" si="2"/>
        <v>0</v>
      </c>
      <c r="N33" s="1972"/>
      <c r="O33" s="1967">
        <f t="shared" si="7"/>
        <v>0</v>
      </c>
      <c r="P33" s="978">
        <f t="shared" si="3"/>
        <v>0</v>
      </c>
    </row>
    <row r="34" spans="1:17" ht="13.5" thickBot="1">
      <c r="A34" s="1983"/>
      <c r="B34" s="1984" t="s">
        <v>67</v>
      </c>
      <c r="C34" s="1984"/>
      <c r="D34" s="1985"/>
      <c r="E34" s="1986"/>
      <c r="F34" s="1987"/>
      <c r="G34" s="1988">
        <f>SUM(G6:G33)</f>
        <v>0</v>
      </c>
      <c r="H34" s="1986"/>
      <c r="I34" s="1987"/>
      <c r="J34" s="1988">
        <f>SUM(J6:J33)</f>
        <v>0</v>
      </c>
      <c r="K34" s="1986"/>
      <c r="L34" s="1987"/>
      <c r="M34" s="1988">
        <f>SUM(M6:M33)</f>
        <v>0</v>
      </c>
      <c r="N34" s="1986"/>
      <c r="O34" s="1987"/>
      <c r="P34" s="1988">
        <f>SUM(P6:P33)</f>
        <v>0</v>
      </c>
    </row>
    <row r="35" spans="1:17">
      <c r="B35" s="1989" t="s">
        <v>26</v>
      </c>
      <c r="C35" s="1990"/>
      <c r="D35" s="1990"/>
      <c r="E35" s="1991"/>
      <c r="F35" s="1992"/>
      <c r="G35" s="1991"/>
      <c r="H35" s="1992"/>
      <c r="I35" s="1992"/>
      <c r="J35" s="1991"/>
      <c r="K35" s="1992"/>
      <c r="L35" s="1992"/>
      <c r="M35" s="1991"/>
      <c r="N35" s="1992"/>
      <c r="O35" s="1992"/>
      <c r="P35" s="1991"/>
    </row>
    <row r="37" spans="1:17" ht="15.75">
      <c r="A37" s="2228" t="s">
        <v>1313</v>
      </c>
      <c r="B37" s="2229"/>
      <c r="C37" s="2229"/>
      <c r="D37" s="2229"/>
      <c r="E37" s="2230"/>
      <c r="F37" s="2231" t="s">
        <v>1314</v>
      </c>
      <c r="G37" s="2232"/>
      <c r="H37" s="2233"/>
      <c r="I37" s="2231" t="s">
        <v>1315</v>
      </c>
      <c r="J37" s="2232"/>
      <c r="K37" s="2233"/>
      <c r="L37" s="2231" t="s">
        <v>1316</v>
      </c>
      <c r="M37" s="2232"/>
      <c r="N37" s="2233"/>
      <c r="O37" s="2231" t="s">
        <v>824</v>
      </c>
      <c r="P37" s="2232"/>
      <c r="Q37" s="2233"/>
    </row>
    <row r="38" spans="1:17" ht="15.75">
      <c r="A38" s="2228" t="s">
        <v>1317</v>
      </c>
      <c r="B38" s="2229"/>
      <c r="C38" s="2229"/>
      <c r="D38" s="2229"/>
      <c r="E38" s="2230"/>
      <c r="F38" s="2231" t="s">
        <v>1318</v>
      </c>
      <c r="G38" s="2232"/>
      <c r="H38" s="2233"/>
      <c r="I38" s="2231" t="s">
        <v>1318</v>
      </c>
      <c r="J38" s="2232"/>
      <c r="K38" s="2233"/>
      <c r="L38" s="2234" t="s">
        <v>1319</v>
      </c>
      <c r="M38" s="2235"/>
      <c r="N38" s="2236"/>
      <c r="O38" s="2234" t="s">
        <v>1320</v>
      </c>
      <c r="P38" s="2235"/>
      <c r="Q38" s="2236"/>
    </row>
    <row r="39" spans="1:17" ht="15.75">
      <c r="A39" s="2237" t="s">
        <v>1321</v>
      </c>
      <c r="B39" s="2238"/>
      <c r="C39" s="2238"/>
      <c r="D39" s="2238"/>
      <c r="E39" s="2239"/>
      <c r="F39" s="2243" t="s">
        <v>481</v>
      </c>
      <c r="G39" s="2244"/>
      <c r="H39" s="2245"/>
      <c r="I39" s="2243" t="s">
        <v>1334</v>
      </c>
      <c r="J39" s="2244"/>
      <c r="K39" s="2245"/>
      <c r="L39" s="2243" t="s">
        <v>1335</v>
      </c>
      <c r="M39" s="2244"/>
      <c r="N39" s="2245"/>
      <c r="O39" s="2264">
        <v>1750</v>
      </c>
      <c r="P39" s="2265"/>
      <c r="Q39" s="2266"/>
    </row>
    <row r="40" spans="1:17" ht="15.75">
      <c r="A40" s="2237" t="s">
        <v>1325</v>
      </c>
      <c r="B40" s="2238"/>
      <c r="C40" s="2238"/>
      <c r="D40" s="2238"/>
      <c r="E40" s="2239"/>
      <c r="F40" s="2240">
        <v>0.49</v>
      </c>
      <c r="G40" s="2241"/>
      <c r="H40" s="2242"/>
      <c r="I40" s="2240">
        <v>0.29530000000000001</v>
      </c>
      <c r="J40" s="2241"/>
      <c r="K40" s="2242"/>
      <c r="L40" s="2240">
        <v>0.21590000000000001</v>
      </c>
      <c r="M40" s="2241"/>
      <c r="N40" s="2242"/>
      <c r="O40" s="2273">
        <v>0.1429</v>
      </c>
      <c r="P40" s="2274"/>
      <c r="Q40" s="2275"/>
    </row>
    <row r="41" spans="1:17" ht="15.75">
      <c r="A41" s="2252" t="s">
        <v>1326</v>
      </c>
      <c r="B41" s="2253"/>
      <c r="C41" s="2253"/>
      <c r="D41" s="2253"/>
      <c r="E41" s="2254"/>
      <c r="F41" s="2273">
        <v>0.42599999999999999</v>
      </c>
      <c r="G41" s="2274"/>
      <c r="H41" s="2275"/>
      <c r="I41" s="2273">
        <v>0.245</v>
      </c>
      <c r="J41" s="2274"/>
      <c r="K41" s="2275"/>
      <c r="L41" s="2273">
        <v>0.16800000000000001</v>
      </c>
      <c r="M41" s="2274"/>
      <c r="N41" s="2275"/>
      <c r="O41" s="2273">
        <v>0.114</v>
      </c>
      <c r="P41" s="2274"/>
      <c r="Q41" s="2275"/>
    </row>
    <row r="42" spans="1:17" ht="15.75">
      <c r="A42" s="2267" t="s">
        <v>825</v>
      </c>
      <c r="B42" s="2268"/>
      <c r="C42" s="2268"/>
      <c r="D42" s="2268"/>
      <c r="E42" s="2269"/>
      <c r="F42" s="2249">
        <v>1.2</v>
      </c>
      <c r="G42" s="2250"/>
      <c r="H42" s="2251"/>
      <c r="I42" s="2249">
        <v>1.3</v>
      </c>
      <c r="J42" s="2250"/>
      <c r="K42" s="2251"/>
      <c r="L42" s="2249">
        <v>1.2</v>
      </c>
      <c r="M42" s="2250"/>
      <c r="N42" s="2251"/>
      <c r="O42" s="2249">
        <v>1.2</v>
      </c>
      <c r="P42" s="2250"/>
      <c r="Q42" s="2251"/>
    </row>
    <row r="43" spans="1:17" ht="15.75">
      <c r="A43" s="2252" t="s">
        <v>1327</v>
      </c>
      <c r="B43" s="2253"/>
      <c r="C43" s="2253"/>
      <c r="D43" s="2253"/>
      <c r="E43" s="2254"/>
      <c r="F43" s="2270">
        <f>C47</f>
        <v>0</v>
      </c>
      <c r="G43" s="2271"/>
      <c r="H43" s="2272"/>
      <c r="I43" s="2270">
        <v>10</v>
      </c>
      <c r="J43" s="2271"/>
      <c r="K43" s="2272"/>
      <c r="L43" s="2270">
        <v>40</v>
      </c>
      <c r="M43" s="2271"/>
      <c r="N43" s="2272"/>
      <c r="O43" s="2270">
        <v>100</v>
      </c>
      <c r="P43" s="2271"/>
      <c r="Q43" s="2272"/>
    </row>
    <row r="44" spans="1:17" ht="15.75">
      <c r="A44" s="2252" t="s">
        <v>1328</v>
      </c>
      <c r="B44" s="2253"/>
      <c r="C44" s="2253"/>
      <c r="D44" s="2253"/>
      <c r="E44" s="2254"/>
      <c r="F44" s="2255">
        <f>0.785*(F40)*(F40)*F39*F42</f>
        <v>6.7852259999999998</v>
      </c>
      <c r="G44" s="2256"/>
      <c r="H44" s="2257"/>
      <c r="I44" s="2255">
        <f>(0.785*(((F41-2*0.01))^2)*F39)+(0.785*((I40)^2)*(I39-F39)*I42)</f>
        <v>23.4596290259</v>
      </c>
      <c r="J44" s="2256"/>
      <c r="K44" s="2257"/>
      <c r="L44" s="2255">
        <f>(0.785*(((I41-2*0.0095)^2)*I39)+(0.785*((L40)^2)*(L39-I39)*L42))</f>
        <v>67.105712126000014</v>
      </c>
      <c r="M44" s="2256"/>
      <c r="N44" s="2257"/>
      <c r="O44" s="2255">
        <f>(0.785*(((L41-2*0.01003)^2)*L39)+(0.785*((O40)^2)*(O39-L39)*O42))</f>
        <v>30.477292144300005</v>
      </c>
      <c r="P44" s="2256"/>
      <c r="Q44" s="2257"/>
    </row>
    <row r="45" spans="1:17" ht="15.75">
      <c r="A45" s="2252" t="s">
        <v>1329</v>
      </c>
      <c r="B45" s="2253"/>
      <c r="C45" s="2253"/>
      <c r="D45" s="2253"/>
      <c r="E45" s="2254"/>
      <c r="F45" s="2255">
        <f>F39*(F41-0.01-0.01)^2*0.785</f>
        <v>3.8818877999999994</v>
      </c>
      <c r="G45" s="2256"/>
      <c r="H45" s="2257"/>
      <c r="I45" s="2255">
        <f>I39*(I41-0.0095-0.0095)^2*0.785</f>
        <v>10.023664999999998</v>
      </c>
      <c r="J45" s="2256"/>
      <c r="K45" s="2257"/>
      <c r="L45" s="2255">
        <f>L39*(0.2445-0.0095-0.0095)^2*0.785</f>
        <v>61.872041687499987</v>
      </c>
      <c r="M45" s="2256"/>
      <c r="N45" s="2257"/>
      <c r="O45" s="2255">
        <f>O39*(0.1778-0.00919-0.00919)^2*0.785</f>
        <v>34.913494129500002</v>
      </c>
      <c r="P45" s="2256"/>
      <c r="Q45" s="2257"/>
    </row>
    <row r="46" spans="1:17" ht="15.75">
      <c r="A46" s="2252" t="s">
        <v>1330</v>
      </c>
      <c r="B46" s="2253"/>
      <c r="C46" s="2253"/>
      <c r="D46" s="2253"/>
      <c r="E46" s="2254"/>
      <c r="F46" s="2255">
        <f>F44*0.5</f>
        <v>3.3926129999999999</v>
      </c>
      <c r="G46" s="2256"/>
      <c r="H46" s="2257"/>
      <c r="I46" s="2255">
        <f>I40*I40*I42*0.785*(I39-F39)*0.5</f>
        <v>9.7888706129500012</v>
      </c>
      <c r="J46" s="2256"/>
      <c r="K46" s="2257"/>
      <c r="L46" s="2255">
        <f>L40*L40*L42*0.785*(L39-I39)*0.3</f>
        <v>17.124614137800002</v>
      </c>
      <c r="M46" s="2256"/>
      <c r="N46" s="2257"/>
      <c r="O46" s="2255">
        <f>O40*O40*O42*0.785*(O39-L39)*0.2</f>
        <v>0.76944104880000008</v>
      </c>
      <c r="P46" s="2256"/>
      <c r="Q46" s="2257"/>
    </row>
    <row r="47" spans="1:17" ht="15.75">
      <c r="A47" s="2252" t="s">
        <v>1331</v>
      </c>
      <c r="B47" s="2253"/>
      <c r="C47" s="2253"/>
      <c r="D47" s="2253"/>
      <c r="E47" s="2254"/>
      <c r="F47" s="2255">
        <f>F44+F45+F46</f>
        <v>14.0597268</v>
      </c>
      <c r="G47" s="2256"/>
      <c r="H47" s="2257"/>
      <c r="I47" s="2255">
        <f>I44+I45+I46</f>
        <v>43.272164638849993</v>
      </c>
      <c r="J47" s="2256"/>
      <c r="K47" s="2257"/>
      <c r="L47" s="2255">
        <f>L44+L45+L46</f>
        <v>146.10236795129998</v>
      </c>
      <c r="M47" s="2256"/>
      <c r="N47" s="2257"/>
      <c r="O47" s="2255">
        <f>O44+O45+O46</f>
        <v>66.160227322600008</v>
      </c>
      <c r="P47" s="2256"/>
      <c r="Q47" s="2257"/>
    </row>
    <row r="48" spans="1:17" ht="15.75">
      <c r="A48" s="2261" t="s">
        <v>1331</v>
      </c>
      <c r="B48" s="2262"/>
      <c r="C48" s="2262"/>
      <c r="D48" s="2262"/>
      <c r="E48" s="2263"/>
      <c r="F48" s="2255">
        <f>20+40</f>
        <v>60</v>
      </c>
      <c r="G48" s="2256"/>
      <c r="H48" s="2257"/>
      <c r="I48" s="2255">
        <f>I47-I43+60</f>
        <v>93.272164638850001</v>
      </c>
      <c r="J48" s="2256"/>
      <c r="K48" s="2257"/>
      <c r="L48" s="2255">
        <f>L47-L43+60</f>
        <v>166.10236795129998</v>
      </c>
      <c r="M48" s="2256"/>
      <c r="N48" s="2257"/>
      <c r="O48" s="2255">
        <f>O47-O43+60</f>
        <v>26.160227322600008</v>
      </c>
      <c r="P48" s="2256"/>
      <c r="Q48" s="2257"/>
    </row>
    <row r="53" spans="1:17" ht="13.5">
      <c r="B53" s="1993" t="s">
        <v>1332</v>
      </c>
    </row>
    <row r="54" spans="1:17" ht="13.5">
      <c r="B54" s="1993" t="s">
        <v>1333</v>
      </c>
    </row>
    <row r="58" spans="1:17">
      <c r="A58" s="1994"/>
      <c r="B58" s="1994"/>
      <c r="C58" s="1994"/>
      <c r="D58" s="1995"/>
      <c r="E58" s="1995"/>
      <c r="F58" s="1995"/>
      <c r="G58" s="1994"/>
      <c r="H58" s="1995"/>
      <c r="I58" s="1995"/>
      <c r="J58" s="1995"/>
      <c r="K58" s="1994"/>
      <c r="L58" s="1994"/>
      <c r="M58" s="1994"/>
      <c r="N58" s="1994"/>
      <c r="O58" s="1994"/>
      <c r="P58" s="1996"/>
      <c r="Q58" s="1994"/>
    </row>
    <row r="59" spans="1:17">
      <c r="H59" s="1" t="s">
        <v>124</v>
      </c>
      <c r="P59" s="1" t="s">
        <v>127</v>
      </c>
    </row>
  </sheetData>
  <mergeCells count="69">
    <mergeCell ref="I44:K44"/>
    <mergeCell ref="L44:N44"/>
    <mergeCell ref="O44:Q44"/>
    <mergeCell ref="I46:K46"/>
    <mergeCell ref="L46:N46"/>
    <mergeCell ref="O46:Q46"/>
    <mergeCell ref="I45:K45"/>
    <mergeCell ref="L45:N45"/>
    <mergeCell ref="O45:Q45"/>
    <mergeCell ref="I48:K48"/>
    <mergeCell ref="L48:N48"/>
    <mergeCell ref="O48:Q48"/>
    <mergeCell ref="I47:K47"/>
    <mergeCell ref="L47:N47"/>
    <mergeCell ref="O47:Q47"/>
    <mergeCell ref="I42:K42"/>
    <mergeCell ref="L42:N42"/>
    <mergeCell ref="O42:Q42"/>
    <mergeCell ref="A43:E43"/>
    <mergeCell ref="F43:H43"/>
    <mergeCell ref="I43:K43"/>
    <mergeCell ref="L43:N43"/>
    <mergeCell ref="O43:Q43"/>
    <mergeCell ref="A42:E42"/>
    <mergeCell ref="F42:H42"/>
    <mergeCell ref="I40:K40"/>
    <mergeCell ref="L40:N40"/>
    <mergeCell ref="O40:Q40"/>
    <mergeCell ref="A41:E41"/>
    <mergeCell ref="F41:H41"/>
    <mergeCell ref="I41:K41"/>
    <mergeCell ref="L41:N41"/>
    <mergeCell ref="O41:Q41"/>
    <mergeCell ref="A40:E40"/>
    <mergeCell ref="F40:H40"/>
    <mergeCell ref="I38:K38"/>
    <mergeCell ref="L38:N38"/>
    <mergeCell ref="O38:Q38"/>
    <mergeCell ref="A39:E39"/>
    <mergeCell ref="F39:H39"/>
    <mergeCell ref="I39:K39"/>
    <mergeCell ref="L39:N39"/>
    <mergeCell ref="O39:Q39"/>
    <mergeCell ref="A38:E38"/>
    <mergeCell ref="F38:H38"/>
    <mergeCell ref="I37:K37"/>
    <mergeCell ref="L37:N37"/>
    <mergeCell ref="O37:Q37"/>
    <mergeCell ref="A1:A4"/>
    <mergeCell ref="B1:B4"/>
    <mergeCell ref="C1:C4"/>
    <mergeCell ref="D1:D4"/>
    <mergeCell ref="E1:P1"/>
    <mergeCell ref="E2:G2"/>
    <mergeCell ref="H2:J2"/>
    <mergeCell ref="K2:M2"/>
    <mergeCell ref="N2:P2"/>
    <mergeCell ref="A46:E46"/>
    <mergeCell ref="F46:H46"/>
    <mergeCell ref="A48:E48"/>
    <mergeCell ref="A37:E37"/>
    <mergeCell ref="F37:H37"/>
    <mergeCell ref="A47:E47"/>
    <mergeCell ref="F47:H47"/>
    <mergeCell ref="A44:E44"/>
    <mergeCell ref="F44:H44"/>
    <mergeCell ref="A45:E45"/>
    <mergeCell ref="F45:H45"/>
    <mergeCell ref="F48:H48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8"/>
  <sheetViews>
    <sheetView zoomScaleNormal="100" workbookViewId="0">
      <pane xSplit="5" ySplit="10" topLeftCell="F106" activePane="bottomRight" state="frozen"/>
      <selection pane="topRight" activeCell="F1" sqref="F1"/>
      <selection pane="bottomLeft" activeCell="A2" sqref="A2"/>
      <selection pane="bottomRight" activeCell="K121" sqref="K121"/>
    </sheetView>
  </sheetViews>
  <sheetFormatPr defaultColWidth="9.140625" defaultRowHeight="15" outlineLevelRow="1"/>
  <cols>
    <col min="1" max="1" width="10.28515625" style="1309" customWidth="1"/>
    <col min="2" max="2" width="49.42578125" style="1329" customWidth="1"/>
    <col min="3" max="3" width="13.7109375" style="1309" customWidth="1"/>
    <col min="4" max="4" width="7.7109375" style="1330" customWidth="1"/>
    <col min="5" max="5" width="50.140625" style="1330" customWidth="1"/>
    <col min="6" max="6" width="12.140625" style="1329" customWidth="1"/>
    <col min="7" max="7" width="10.85546875" style="1331" customWidth="1"/>
    <col min="8" max="8" width="13.140625" style="1331" customWidth="1"/>
    <col min="9" max="9" width="9.85546875" style="1331" customWidth="1"/>
    <col min="10" max="10" width="9.5703125" style="1331" customWidth="1"/>
    <col min="11" max="11" width="15.140625" style="1331" customWidth="1"/>
    <col min="12" max="12" width="9.28515625" style="1309" customWidth="1"/>
    <col min="13" max="13" width="21.42578125" style="1314" customWidth="1"/>
    <col min="14" max="16384" width="9.140625" style="1309"/>
  </cols>
  <sheetData>
    <row r="1" spans="1:17" ht="15.75">
      <c r="B1" s="1310" t="s">
        <v>826</v>
      </c>
      <c r="C1" s="1311"/>
      <c r="D1" s="1312" t="s">
        <v>826</v>
      </c>
      <c r="E1" s="1312"/>
      <c r="F1" s="1310"/>
      <c r="G1" s="1313"/>
      <c r="H1" s="1313"/>
      <c r="I1" s="1313" t="s">
        <v>827</v>
      </c>
      <c r="J1" s="1313"/>
      <c r="K1" s="1313"/>
    </row>
    <row r="2" spans="1:17" ht="32.25" customHeight="1">
      <c r="B2" s="1315" t="s">
        <v>828</v>
      </c>
      <c r="C2" s="2574" t="s">
        <v>829</v>
      </c>
      <c r="D2" s="2574"/>
      <c r="E2" s="2574"/>
      <c r="F2" s="2575" t="s">
        <v>830</v>
      </c>
      <c r="G2" s="2576"/>
      <c r="H2" s="2576"/>
      <c r="I2" s="2576"/>
      <c r="J2" s="2576"/>
      <c r="K2" s="2576"/>
    </row>
    <row r="3" spans="1:17" ht="15.75">
      <c r="B3" s="1316" t="s">
        <v>831</v>
      </c>
      <c r="C3" s="1317"/>
      <c r="D3" s="1318" t="s">
        <v>832</v>
      </c>
      <c r="E3" s="1318"/>
      <c r="F3" s="1316"/>
      <c r="G3" s="1319"/>
      <c r="H3" s="1319"/>
      <c r="I3" s="1319" t="s">
        <v>833</v>
      </c>
      <c r="J3" s="1319"/>
      <c r="K3" s="1319"/>
    </row>
    <row r="4" spans="1:17" ht="15.75">
      <c r="B4" s="1316" t="s">
        <v>834</v>
      </c>
      <c r="C4" s="1317"/>
      <c r="D4" s="1318" t="s">
        <v>835</v>
      </c>
      <c r="E4" s="1318"/>
      <c r="F4" s="1316"/>
      <c r="G4" s="1319"/>
      <c r="H4" s="1319"/>
      <c r="I4" s="1319" t="s">
        <v>836</v>
      </c>
      <c r="J4" s="1319"/>
      <c r="K4" s="1319"/>
    </row>
    <row r="5" spans="1:17" ht="15.75">
      <c r="B5" s="1316"/>
      <c r="C5" s="1317"/>
      <c r="D5" s="1318"/>
      <c r="E5" s="1318"/>
      <c r="F5" s="1316"/>
      <c r="G5" s="1319"/>
      <c r="H5" s="1319"/>
      <c r="I5" s="1319"/>
      <c r="J5" s="1319"/>
      <c r="K5" s="1319"/>
    </row>
    <row r="6" spans="1:17" s="1322" customFormat="1" ht="18.75">
      <c r="A6" s="2577" t="s">
        <v>837</v>
      </c>
      <c r="B6" s="2577"/>
      <c r="C6" s="2577"/>
      <c r="D6" s="2577"/>
      <c r="E6" s="2577"/>
      <c r="F6" s="2577"/>
      <c r="G6" s="2577"/>
      <c r="H6" s="2577"/>
      <c r="I6" s="2577"/>
      <c r="J6" s="2577"/>
      <c r="K6" s="2577"/>
      <c r="L6" s="2577"/>
      <c r="M6" s="1320"/>
      <c r="N6" s="1321"/>
      <c r="O6" s="1321"/>
      <c r="P6" s="1321"/>
      <c r="Q6" s="1321"/>
    </row>
    <row r="7" spans="1:17" s="1322" customFormat="1" ht="18.75">
      <c r="A7" s="1323"/>
      <c r="C7" s="1323"/>
      <c r="D7" s="1324" t="s">
        <v>453</v>
      </c>
      <c r="E7" s="1325" t="s">
        <v>838</v>
      </c>
      <c r="F7" s="1326" t="s">
        <v>452</v>
      </c>
      <c r="G7" s="1325">
        <v>103</v>
      </c>
      <c r="H7" s="1323"/>
      <c r="I7" s="1323"/>
      <c r="J7" s="1323"/>
      <c r="K7" s="1323"/>
      <c r="L7" s="1323"/>
      <c r="M7" s="1327"/>
      <c r="N7" s="1323"/>
      <c r="O7" s="1323"/>
      <c r="P7" s="1323"/>
      <c r="Q7" s="1323"/>
    </row>
    <row r="8" spans="1:17" s="1322" customFormat="1" ht="18.75">
      <c r="A8" s="1323"/>
      <c r="F8" s="1322" t="s">
        <v>451</v>
      </c>
      <c r="G8" s="1328" t="s">
        <v>839</v>
      </c>
      <c r="H8" s="1328"/>
      <c r="I8" s="1328"/>
      <c r="J8" s="1328"/>
      <c r="M8" s="1327"/>
      <c r="N8" s="1323"/>
      <c r="O8" s="1323"/>
      <c r="P8" s="1323"/>
      <c r="Q8" s="1323"/>
    </row>
    <row r="9" spans="1:17" ht="15.75" thickBot="1"/>
    <row r="10" spans="1:17" ht="95.25" customHeight="1">
      <c r="A10" s="1332" t="s">
        <v>840</v>
      </c>
      <c r="B10" s="1333" t="s">
        <v>841</v>
      </c>
      <c r="C10" s="1334" t="s">
        <v>842</v>
      </c>
      <c r="D10" s="1334" t="s">
        <v>843</v>
      </c>
      <c r="E10" s="1334" t="s">
        <v>844</v>
      </c>
      <c r="F10" s="1335" t="s">
        <v>845</v>
      </c>
      <c r="G10" s="1335" t="s">
        <v>846</v>
      </c>
      <c r="H10" s="1335" t="s">
        <v>847</v>
      </c>
      <c r="I10" s="1336" t="s">
        <v>823</v>
      </c>
      <c r="J10" s="1336" t="s">
        <v>848</v>
      </c>
      <c r="K10" s="1337" t="s">
        <v>824</v>
      </c>
      <c r="L10" s="1338" t="s">
        <v>183</v>
      </c>
    </row>
    <row r="11" spans="1:17" ht="57.75" customHeight="1" thickBot="1">
      <c r="A11" s="1339"/>
      <c r="B11" s="1340"/>
      <c r="C11" s="1341"/>
      <c r="D11" s="1341"/>
      <c r="E11" s="1342"/>
      <c r="F11" s="1343" t="s">
        <v>849</v>
      </c>
      <c r="G11" s="1343" t="s">
        <v>850</v>
      </c>
      <c r="H11" s="1343" t="s">
        <v>851</v>
      </c>
      <c r="I11" s="1343" t="s">
        <v>852</v>
      </c>
      <c r="J11" s="1344" t="s">
        <v>852</v>
      </c>
      <c r="K11" s="1343" t="s">
        <v>853</v>
      </c>
      <c r="L11" s="1345"/>
    </row>
    <row r="12" spans="1:17" ht="25.5" customHeight="1" outlineLevel="1">
      <c r="A12" s="1332" t="s">
        <v>854</v>
      </c>
      <c r="B12" s="1346" t="s">
        <v>855</v>
      </c>
      <c r="C12" s="1347" t="s">
        <v>856</v>
      </c>
      <c r="D12" s="1348" t="s">
        <v>62</v>
      </c>
      <c r="E12" s="1349"/>
      <c r="F12" s="1350">
        <v>2.63</v>
      </c>
      <c r="G12" s="1350">
        <v>13.88</v>
      </c>
      <c r="H12" s="1350">
        <v>22.81</v>
      </c>
      <c r="I12" s="1350">
        <v>0</v>
      </c>
      <c r="J12" s="1351">
        <v>45.75</v>
      </c>
      <c r="K12" s="1351">
        <v>0</v>
      </c>
      <c r="L12" s="1352">
        <f>SUM(F12:K12)</f>
        <v>85.07</v>
      </c>
    </row>
    <row r="13" spans="1:17" ht="19.5" customHeight="1" outlineLevel="1">
      <c r="A13" s="1353"/>
      <c r="B13" s="1354" t="s">
        <v>857</v>
      </c>
      <c r="C13" s="1355" t="s">
        <v>858</v>
      </c>
      <c r="D13" s="1356" t="s">
        <v>62</v>
      </c>
      <c r="E13" s="1357"/>
      <c r="F13" s="2561">
        <v>365</v>
      </c>
      <c r="G13" s="2562"/>
      <c r="H13" s="2562"/>
      <c r="I13" s="2562"/>
      <c r="J13" s="2562"/>
      <c r="K13" s="2562"/>
      <c r="L13" s="1358"/>
    </row>
    <row r="14" spans="1:17" ht="19.5" customHeight="1" outlineLevel="1">
      <c r="A14" s="1353"/>
      <c r="B14" s="1354" t="s">
        <v>859</v>
      </c>
      <c r="C14" s="1359" t="s">
        <v>860</v>
      </c>
      <c r="D14" s="1356" t="s">
        <v>62</v>
      </c>
      <c r="E14" s="1360"/>
      <c r="F14" s="2561">
        <v>204</v>
      </c>
      <c r="G14" s="2562"/>
      <c r="H14" s="2562"/>
      <c r="I14" s="2562"/>
      <c r="J14" s="2562"/>
      <c r="K14" s="2562"/>
      <c r="L14" s="1358"/>
      <c r="O14" s="1361"/>
    </row>
    <row r="15" spans="1:17" ht="45" outlineLevel="1">
      <c r="A15" s="1353"/>
      <c r="B15" s="1354" t="s">
        <v>861</v>
      </c>
      <c r="C15" s="1359" t="s">
        <v>862</v>
      </c>
      <c r="D15" s="1356"/>
      <c r="E15" s="1357"/>
      <c r="F15" s="1362">
        <v>0</v>
      </c>
      <c r="G15" s="1362">
        <v>0</v>
      </c>
      <c r="H15" s="1362">
        <v>0</v>
      </c>
      <c r="I15" s="1362">
        <v>0</v>
      </c>
      <c r="J15" s="1362">
        <v>0</v>
      </c>
      <c r="K15" s="1362">
        <v>0</v>
      </c>
      <c r="L15" s="1358"/>
    </row>
    <row r="16" spans="1:17" outlineLevel="1">
      <c r="A16" s="1353"/>
      <c r="B16" s="1363" t="s">
        <v>863</v>
      </c>
      <c r="C16" s="1359" t="s">
        <v>864</v>
      </c>
      <c r="D16" s="1356" t="s">
        <v>1</v>
      </c>
      <c r="E16" s="1360"/>
      <c r="F16" s="1364"/>
      <c r="G16" s="1364">
        <v>50</v>
      </c>
      <c r="H16" s="1364">
        <f>G17</f>
        <v>1050</v>
      </c>
      <c r="I16" s="1364">
        <v>0</v>
      </c>
      <c r="J16" s="1364">
        <f>H17</f>
        <v>3150</v>
      </c>
      <c r="K16" s="1364"/>
      <c r="L16" s="1365"/>
    </row>
    <row r="17" spans="1:13" outlineLevel="1">
      <c r="A17" s="1353"/>
      <c r="B17" s="1363" t="s">
        <v>865</v>
      </c>
      <c r="C17" s="1366" t="s">
        <v>866</v>
      </c>
      <c r="D17" s="1356" t="s">
        <v>1</v>
      </c>
      <c r="E17" s="1360"/>
      <c r="F17" s="1364">
        <v>50</v>
      </c>
      <c r="G17" s="1364">
        <v>1050</v>
      </c>
      <c r="H17" s="1364">
        <v>3150</v>
      </c>
      <c r="I17" s="1364">
        <v>0</v>
      </c>
      <c r="J17" s="1364">
        <v>4500</v>
      </c>
      <c r="K17" s="1364"/>
      <c r="L17" s="1365"/>
    </row>
    <row r="18" spans="1:13" ht="29.25" customHeight="1" outlineLevel="1">
      <c r="A18" s="1353"/>
      <c r="B18" s="1363" t="s">
        <v>867</v>
      </c>
      <c r="C18" s="1367" t="s">
        <v>868</v>
      </c>
      <c r="D18" s="1356" t="s">
        <v>1</v>
      </c>
      <c r="E18" s="1360"/>
      <c r="F18" s="1368">
        <v>0</v>
      </c>
      <c r="G18" s="1368">
        <v>0</v>
      </c>
      <c r="H18" s="1368">
        <v>0</v>
      </c>
      <c r="I18" s="1368"/>
      <c r="J18" s="1368">
        <v>2561</v>
      </c>
      <c r="K18" s="1368"/>
      <c r="L18" s="1365"/>
    </row>
    <row r="19" spans="1:13" outlineLevel="1">
      <c r="A19" s="1353"/>
      <c r="B19" s="1363" t="s">
        <v>869</v>
      </c>
      <c r="C19" s="1369" t="s">
        <v>870</v>
      </c>
      <c r="D19" s="1356" t="s">
        <v>1</v>
      </c>
      <c r="E19" s="1370"/>
      <c r="F19" s="1368"/>
      <c r="G19" s="1368"/>
      <c r="H19" s="1368"/>
      <c r="I19" s="1368"/>
      <c r="J19" s="1368"/>
      <c r="K19" s="1368"/>
      <c r="L19" s="1365"/>
    </row>
    <row r="20" spans="1:13" ht="20.25" customHeight="1" outlineLevel="1">
      <c r="A20" s="1353"/>
      <c r="B20" s="1363" t="s">
        <v>871</v>
      </c>
      <c r="C20" s="1369" t="s">
        <v>872</v>
      </c>
      <c r="D20" s="1356" t="s">
        <v>651</v>
      </c>
      <c r="E20" s="1371" t="s">
        <v>873</v>
      </c>
      <c r="F20" s="1372">
        <f>3.14*F24/1000*10</f>
        <v>0</v>
      </c>
      <c r="G20" s="1372">
        <f>0.785*(G24/1000)^2*10</f>
        <v>1.2812456000000003</v>
      </c>
      <c r="H20" s="1372">
        <f>0.785*(H24/1000)^2*25</f>
        <v>1.8244186962500002</v>
      </c>
      <c r="I20" s="1372">
        <f>0.785*(I24/1000)^2*25</f>
        <v>0</v>
      </c>
      <c r="J20" s="1372">
        <f>0.785*(J24/1000)^2*25</f>
        <v>0.99122082665</v>
      </c>
      <c r="K20" s="1372">
        <f>0.785*(K24/1000)^2*25</f>
        <v>0</v>
      </c>
      <c r="L20" s="1365"/>
    </row>
    <row r="21" spans="1:13" outlineLevel="1">
      <c r="A21" s="1353"/>
      <c r="B21" s="1373" t="s">
        <v>874</v>
      </c>
      <c r="C21" s="1369" t="s">
        <v>875</v>
      </c>
      <c r="D21" s="1356" t="s">
        <v>876</v>
      </c>
      <c r="E21" s="1360"/>
      <c r="F21" s="1374">
        <v>127</v>
      </c>
      <c r="G21" s="1374">
        <v>127</v>
      </c>
      <c r="H21" s="1374">
        <v>127</v>
      </c>
      <c r="I21" s="1374"/>
      <c r="J21" s="1374">
        <v>127</v>
      </c>
      <c r="K21" s="1374"/>
      <c r="L21" s="1365"/>
    </row>
    <row r="22" spans="1:13" outlineLevel="1">
      <c r="A22" s="1353"/>
      <c r="B22" s="1363" t="s">
        <v>877</v>
      </c>
      <c r="C22" s="1369" t="s">
        <v>878</v>
      </c>
      <c r="D22" s="1356" t="s">
        <v>876</v>
      </c>
      <c r="E22" s="1360"/>
      <c r="F22" s="1374"/>
      <c r="G22" s="1375">
        <v>426</v>
      </c>
      <c r="H22" s="1375">
        <v>323.89999999999998</v>
      </c>
      <c r="I22" s="1376"/>
      <c r="J22" s="1376">
        <v>244.8</v>
      </c>
      <c r="K22" s="1376"/>
      <c r="L22" s="1365"/>
    </row>
    <row r="23" spans="1:13" outlineLevel="1">
      <c r="A23" s="1353"/>
      <c r="B23" s="1363" t="s">
        <v>879</v>
      </c>
      <c r="C23" s="1369" t="s">
        <v>880</v>
      </c>
      <c r="D23" s="1356" t="s">
        <v>876</v>
      </c>
      <c r="E23" s="1360"/>
      <c r="F23" s="1374"/>
      <c r="G23" s="1375">
        <v>11</v>
      </c>
      <c r="H23" s="1375">
        <v>9.5</v>
      </c>
      <c r="I23" s="1376"/>
      <c r="J23" s="1376">
        <v>10.029999999999999</v>
      </c>
      <c r="K23" s="1376"/>
      <c r="L23" s="1365"/>
    </row>
    <row r="24" spans="1:13" ht="30" outlineLevel="1">
      <c r="A24" s="1353"/>
      <c r="B24" s="1363" t="s">
        <v>881</v>
      </c>
      <c r="C24" s="1377" t="s">
        <v>878</v>
      </c>
      <c r="D24" s="1356" t="s">
        <v>876</v>
      </c>
      <c r="E24" s="1371" t="s">
        <v>882</v>
      </c>
      <c r="F24" s="1372">
        <f t="shared" ref="F24:K24" si="0">F22-2*F23</f>
        <v>0</v>
      </c>
      <c r="G24" s="1372">
        <f t="shared" si="0"/>
        <v>404</v>
      </c>
      <c r="H24" s="1372">
        <f t="shared" si="0"/>
        <v>304.89999999999998</v>
      </c>
      <c r="I24" s="1372">
        <f t="shared" si="0"/>
        <v>0</v>
      </c>
      <c r="J24" s="1372">
        <f t="shared" si="0"/>
        <v>224.74</v>
      </c>
      <c r="K24" s="1378">
        <f t="shared" si="0"/>
        <v>0</v>
      </c>
      <c r="L24" s="1365"/>
    </row>
    <row r="25" spans="1:13" outlineLevel="1">
      <c r="A25" s="1353"/>
      <c r="B25" s="1363" t="s">
        <v>883</v>
      </c>
      <c r="C25" s="1379"/>
      <c r="D25" s="1356" t="s">
        <v>876</v>
      </c>
      <c r="E25" s="1360"/>
      <c r="F25" s="1362">
        <v>426</v>
      </c>
      <c r="G25" s="1362">
        <v>323.89999999999998</v>
      </c>
      <c r="H25" s="1362">
        <v>244.48</v>
      </c>
      <c r="I25" s="1362"/>
      <c r="J25" s="1362">
        <v>177.8</v>
      </c>
      <c r="K25" s="1362"/>
      <c r="L25" s="1365"/>
    </row>
    <row r="26" spans="1:13" ht="30" outlineLevel="1">
      <c r="A26" s="1353"/>
      <c r="B26" s="1363" t="s">
        <v>884</v>
      </c>
      <c r="C26" s="1377" t="s">
        <v>885</v>
      </c>
      <c r="D26" s="1356" t="s">
        <v>219</v>
      </c>
      <c r="E26" s="1360"/>
      <c r="F26" s="1362">
        <v>1</v>
      </c>
      <c r="G26" s="1362">
        <v>1</v>
      </c>
      <c r="H26" s="1362">
        <v>1</v>
      </c>
      <c r="I26" s="1362"/>
      <c r="J26" s="1362">
        <v>1</v>
      </c>
      <c r="K26" s="1362"/>
      <c r="L26" s="1365"/>
    </row>
    <row r="27" spans="1:13" outlineLevel="1">
      <c r="A27" s="1353"/>
      <c r="B27" s="1363" t="s">
        <v>825</v>
      </c>
      <c r="C27" s="1380" t="s">
        <v>886</v>
      </c>
      <c r="D27" s="1356"/>
      <c r="E27" s="1360"/>
      <c r="F27" s="1381">
        <v>1.5</v>
      </c>
      <c r="G27" s="1381">
        <v>1.5</v>
      </c>
      <c r="H27" s="1381">
        <v>1.3</v>
      </c>
      <c r="I27" s="1381"/>
      <c r="J27" s="1381">
        <v>1.2</v>
      </c>
      <c r="K27" s="1381"/>
      <c r="L27" s="1365"/>
    </row>
    <row r="28" spans="1:13" outlineLevel="1">
      <c r="A28" s="1353"/>
      <c r="B28" s="1363" t="s">
        <v>887</v>
      </c>
      <c r="C28" s="1380" t="s">
        <v>888</v>
      </c>
      <c r="D28" s="1356" t="s">
        <v>1</v>
      </c>
      <c r="E28" s="1360"/>
      <c r="F28" s="1382">
        <v>50</v>
      </c>
      <c r="G28" s="1382">
        <f>G17-F17</f>
        <v>1000</v>
      </c>
      <c r="H28" s="1382">
        <f>H17-G17</f>
        <v>2100</v>
      </c>
      <c r="I28" s="1382"/>
      <c r="J28" s="1382">
        <f>J17-H17</f>
        <v>1350</v>
      </c>
      <c r="K28" s="1382"/>
      <c r="L28" s="1383">
        <f>SUM(F28:K28)</f>
        <v>4500</v>
      </c>
      <c r="M28" s="1384" t="s">
        <v>454</v>
      </c>
    </row>
    <row r="29" spans="1:13" outlineLevel="1">
      <c r="A29" s="1353"/>
      <c r="B29" s="1363" t="s">
        <v>889</v>
      </c>
      <c r="C29" s="1369" t="s">
        <v>890</v>
      </c>
      <c r="D29" s="1356" t="s">
        <v>876</v>
      </c>
      <c r="E29" s="1360"/>
      <c r="F29" s="1362">
        <v>490</v>
      </c>
      <c r="G29" s="1362">
        <v>393.7</v>
      </c>
      <c r="H29" s="1362">
        <v>295.3</v>
      </c>
      <c r="I29" s="1362"/>
      <c r="J29" s="1362">
        <v>220.7</v>
      </c>
      <c r="K29" s="1362"/>
      <c r="L29" s="1365"/>
    </row>
    <row r="30" spans="1:13" s="1314" customFormat="1" outlineLevel="1">
      <c r="A30" s="1353"/>
      <c r="B30" s="1385" t="s">
        <v>891</v>
      </c>
      <c r="C30" s="1386" t="s">
        <v>892</v>
      </c>
      <c r="D30" s="1356" t="s">
        <v>651</v>
      </c>
      <c r="E30" s="1360"/>
      <c r="F30" s="2572">
        <v>130</v>
      </c>
      <c r="G30" s="2573"/>
      <c r="H30" s="2573"/>
      <c r="I30" s="2573"/>
      <c r="J30" s="2573"/>
      <c r="K30" s="2573"/>
      <c r="L30" s="1365"/>
    </row>
    <row r="31" spans="1:13" outlineLevel="1">
      <c r="A31" s="1353"/>
      <c r="B31" s="1363" t="s">
        <v>893</v>
      </c>
      <c r="C31" s="1369" t="s">
        <v>894</v>
      </c>
      <c r="D31" s="1356" t="s">
        <v>651</v>
      </c>
      <c r="E31" s="1360"/>
      <c r="F31" s="1387">
        <v>0</v>
      </c>
      <c r="G31" s="1387">
        <v>40</v>
      </c>
      <c r="H31" s="1387">
        <v>40</v>
      </c>
      <c r="I31" s="1387"/>
      <c r="J31" s="1387">
        <v>0</v>
      </c>
      <c r="K31" s="1387"/>
      <c r="L31" s="1365"/>
    </row>
    <row r="32" spans="1:13" ht="18.75" outlineLevel="1">
      <c r="A32" s="1353"/>
      <c r="B32" s="1363" t="s">
        <v>895</v>
      </c>
      <c r="C32" s="1366" t="s">
        <v>896</v>
      </c>
      <c r="D32" s="1356" t="s">
        <v>897</v>
      </c>
      <c r="E32" s="1360"/>
      <c r="F32" s="1388">
        <v>1.1399999999999999</v>
      </c>
      <c r="G32" s="1388">
        <v>1.35</v>
      </c>
      <c r="H32" s="1388">
        <v>1.31</v>
      </c>
      <c r="I32" s="1388"/>
      <c r="J32" s="1388">
        <v>1.19</v>
      </c>
      <c r="K32" s="1388"/>
      <c r="L32" s="1365"/>
    </row>
    <row r="33" spans="1:12" outlineLevel="1">
      <c r="A33" s="1353"/>
      <c r="B33" s="1385" t="s">
        <v>898</v>
      </c>
      <c r="C33" s="1369" t="s">
        <v>899</v>
      </c>
      <c r="D33" s="1356" t="s">
        <v>203</v>
      </c>
      <c r="E33" s="1360"/>
      <c r="F33" s="1388">
        <v>100</v>
      </c>
      <c r="G33" s="1388">
        <v>30</v>
      </c>
      <c r="H33" s="1388">
        <v>31</v>
      </c>
      <c r="I33" s="1388"/>
      <c r="J33" s="1388">
        <v>25</v>
      </c>
      <c r="K33" s="1388"/>
      <c r="L33" s="1365"/>
    </row>
    <row r="34" spans="1:12" outlineLevel="1">
      <c r="A34" s="1353"/>
      <c r="B34" s="1385" t="s">
        <v>900</v>
      </c>
      <c r="C34" s="1369" t="s">
        <v>901</v>
      </c>
      <c r="D34" s="1356" t="s">
        <v>203</v>
      </c>
      <c r="E34" s="1360" t="s">
        <v>902</v>
      </c>
      <c r="F34" s="1388">
        <v>8.1199999999999992</v>
      </c>
      <c r="G34" s="1388">
        <v>19.38</v>
      </c>
      <c r="H34" s="1388">
        <v>20</v>
      </c>
      <c r="I34" s="1388"/>
      <c r="J34" s="1388">
        <v>16.88</v>
      </c>
      <c r="K34" s="1388"/>
      <c r="L34" s="1365"/>
    </row>
    <row r="35" spans="1:12" outlineLevel="1">
      <c r="A35" s="1353"/>
      <c r="B35" s="1385" t="s">
        <v>903</v>
      </c>
      <c r="C35" s="1369" t="s">
        <v>904</v>
      </c>
      <c r="D35" s="1389" t="s">
        <v>203</v>
      </c>
      <c r="E35" s="1360"/>
      <c r="F35" s="1390">
        <v>100</v>
      </c>
      <c r="G35" s="1390">
        <v>100</v>
      </c>
      <c r="H35" s="1390">
        <v>100</v>
      </c>
      <c r="I35" s="1390"/>
      <c r="J35" s="1390">
        <v>100</v>
      </c>
      <c r="K35" s="1390"/>
      <c r="L35" s="1365"/>
    </row>
    <row r="36" spans="1:12" outlineLevel="1">
      <c r="A36" s="1353"/>
      <c r="B36" s="1391" t="s">
        <v>905</v>
      </c>
      <c r="C36" s="1369" t="s">
        <v>906</v>
      </c>
      <c r="D36" s="1389" t="s">
        <v>907</v>
      </c>
      <c r="E36" s="1360" t="s">
        <v>908</v>
      </c>
      <c r="F36" s="1392">
        <v>0.31659999999999999</v>
      </c>
      <c r="G36" s="1392">
        <v>0.31659999999999999</v>
      </c>
      <c r="H36" s="1392">
        <v>0.746</v>
      </c>
      <c r="I36" s="1392"/>
      <c r="J36" s="1392">
        <v>0.73199999999999998</v>
      </c>
      <c r="K36" s="1392"/>
      <c r="L36" s="1393"/>
    </row>
    <row r="37" spans="1:12" outlineLevel="1">
      <c r="A37" s="1353"/>
      <c r="B37" s="1391" t="s">
        <v>909</v>
      </c>
      <c r="C37" s="1369" t="s">
        <v>910</v>
      </c>
      <c r="D37" s="1389" t="s">
        <v>911</v>
      </c>
      <c r="E37" s="1360"/>
      <c r="F37" s="1394">
        <v>200</v>
      </c>
      <c r="G37" s="1394">
        <v>80</v>
      </c>
      <c r="H37" s="1394">
        <v>70</v>
      </c>
      <c r="I37" s="1394"/>
      <c r="J37" s="1394">
        <v>20</v>
      </c>
      <c r="K37" s="1394"/>
      <c r="L37" s="1365"/>
    </row>
    <row r="38" spans="1:12" outlineLevel="1">
      <c r="A38" s="1353"/>
      <c r="B38" s="1391" t="s">
        <v>912</v>
      </c>
      <c r="C38" s="1395"/>
      <c r="D38" s="1389"/>
      <c r="E38" s="1396"/>
      <c r="F38" s="1394" t="s">
        <v>327</v>
      </c>
      <c r="G38" s="1394" t="s">
        <v>327</v>
      </c>
      <c r="H38" s="1394" t="s">
        <v>327</v>
      </c>
      <c r="I38" s="1394" t="s">
        <v>327</v>
      </c>
      <c r="J38" s="1394" t="s">
        <v>327</v>
      </c>
      <c r="K38" s="1394" t="s">
        <v>327</v>
      </c>
      <c r="L38" s="1397"/>
    </row>
    <row r="39" spans="1:12" outlineLevel="1">
      <c r="A39" s="1353"/>
      <c r="B39" s="1391" t="s">
        <v>913</v>
      </c>
      <c r="C39" s="1369" t="s">
        <v>914</v>
      </c>
      <c r="D39" s="1389" t="s">
        <v>649</v>
      </c>
      <c r="E39" s="1360"/>
      <c r="F39" s="2561">
        <v>900</v>
      </c>
      <c r="G39" s="2562"/>
      <c r="H39" s="2562"/>
      <c r="I39" s="2562"/>
      <c r="J39" s="2562"/>
      <c r="K39" s="2562"/>
      <c r="L39" s="1397"/>
    </row>
    <row r="40" spans="1:12" ht="30" outlineLevel="1">
      <c r="A40" s="1353"/>
      <c r="B40" s="1385" t="s">
        <v>915</v>
      </c>
      <c r="C40" s="1369" t="s">
        <v>916</v>
      </c>
      <c r="D40" s="1398" t="s">
        <v>1</v>
      </c>
      <c r="E40" s="1360"/>
      <c r="F40" s="2561">
        <v>0.35</v>
      </c>
      <c r="G40" s="2562"/>
      <c r="H40" s="2562"/>
      <c r="I40" s="2562"/>
      <c r="J40" s="2562"/>
      <c r="K40" s="2562"/>
      <c r="L40" s="1397"/>
    </row>
    <row r="41" spans="1:12" ht="30" outlineLevel="1">
      <c r="A41" s="1353"/>
      <c r="B41" s="1363" t="s">
        <v>917</v>
      </c>
      <c r="C41" s="1369" t="s">
        <v>918</v>
      </c>
      <c r="D41" s="1398" t="s">
        <v>1</v>
      </c>
      <c r="E41" s="1360" t="s">
        <v>919</v>
      </c>
      <c r="F41" s="2561">
        <v>0</v>
      </c>
      <c r="G41" s="2562"/>
      <c r="H41" s="2562"/>
      <c r="I41" s="2562"/>
      <c r="J41" s="2562"/>
      <c r="K41" s="2562"/>
      <c r="L41" s="1397"/>
    </row>
    <row r="42" spans="1:12" ht="38.25" outlineLevel="1">
      <c r="A42" s="1353"/>
      <c r="B42" s="1363" t="s">
        <v>920</v>
      </c>
      <c r="C42" s="1379"/>
      <c r="D42" s="1398"/>
      <c r="E42" s="1360" t="s">
        <v>921</v>
      </c>
      <c r="F42" s="2563" t="b">
        <v>1</v>
      </c>
      <c r="G42" s="2564"/>
      <c r="H42" s="2564"/>
      <c r="I42" s="2564"/>
      <c r="J42" s="2564"/>
      <c r="K42" s="2564"/>
      <c r="L42" s="1397"/>
    </row>
    <row r="43" spans="1:12" outlineLevel="1">
      <c r="A43" s="1353"/>
      <c r="B43" s="1363" t="s">
        <v>922</v>
      </c>
      <c r="C43" s="1399" t="s">
        <v>923</v>
      </c>
      <c r="D43" s="1398" t="s">
        <v>924</v>
      </c>
      <c r="E43" s="1360"/>
      <c r="F43" s="2563">
        <v>24</v>
      </c>
      <c r="G43" s="2564"/>
      <c r="H43" s="2564"/>
      <c r="I43" s="2564"/>
      <c r="J43" s="2564"/>
      <c r="K43" s="2564"/>
      <c r="L43" s="1397"/>
    </row>
    <row r="44" spans="1:12" ht="38.25" outlineLevel="1">
      <c r="A44" s="1353"/>
      <c r="B44" s="1363" t="s">
        <v>925</v>
      </c>
      <c r="C44" s="1400"/>
      <c r="D44" s="1398"/>
      <c r="E44" s="1360" t="s">
        <v>926</v>
      </c>
      <c r="F44" s="2563">
        <v>0</v>
      </c>
      <c r="G44" s="2564"/>
      <c r="H44" s="2564"/>
      <c r="I44" s="2564"/>
      <c r="J44" s="2564"/>
      <c r="K44" s="2564"/>
      <c r="L44" s="1397"/>
    </row>
    <row r="45" spans="1:12" outlineLevel="1">
      <c r="A45" s="1353"/>
      <c r="B45" s="1329" t="s">
        <v>927</v>
      </c>
      <c r="C45" s="1369" t="s">
        <v>928</v>
      </c>
      <c r="D45" s="1398" t="s">
        <v>62</v>
      </c>
      <c r="E45" s="1401"/>
      <c r="F45" s="2565"/>
      <c r="G45" s="2566"/>
      <c r="H45" s="2566"/>
      <c r="I45" s="2566"/>
      <c r="J45" s="2566"/>
      <c r="K45" s="2566"/>
      <c r="L45" s="1397"/>
    </row>
    <row r="46" spans="1:12" ht="18.75" outlineLevel="1">
      <c r="A46" s="1353"/>
      <c r="B46" s="1373" t="s">
        <v>929</v>
      </c>
      <c r="C46" s="1402" t="s">
        <v>930</v>
      </c>
      <c r="D46" s="1398"/>
      <c r="E46" s="1360" t="s">
        <v>931</v>
      </c>
      <c r="F46" s="1403">
        <v>1.2</v>
      </c>
      <c r="G46" s="1403">
        <v>1.2</v>
      </c>
      <c r="H46" s="1403">
        <v>1.2</v>
      </c>
      <c r="I46" s="1403"/>
      <c r="J46" s="1403">
        <v>1.2</v>
      </c>
      <c r="K46" s="1403"/>
      <c r="L46" s="1397"/>
    </row>
    <row r="47" spans="1:12" ht="51" outlineLevel="1">
      <c r="A47" s="1353"/>
      <c r="B47" s="1354" t="s">
        <v>932</v>
      </c>
      <c r="C47" s="1402" t="s">
        <v>933</v>
      </c>
      <c r="D47" s="1398"/>
      <c r="E47" s="1360" t="s">
        <v>934</v>
      </c>
      <c r="F47" s="1403"/>
      <c r="G47" s="1403"/>
      <c r="H47" s="1403"/>
      <c r="I47" s="1403"/>
      <c r="J47" s="1403"/>
      <c r="K47" s="1403"/>
      <c r="L47" s="1397"/>
    </row>
    <row r="48" spans="1:12" ht="33" customHeight="1" outlineLevel="1">
      <c r="A48" s="1353"/>
      <c r="B48" s="1354" t="s">
        <v>935</v>
      </c>
      <c r="C48" s="1402" t="s">
        <v>936</v>
      </c>
      <c r="D48" s="1389"/>
      <c r="E48" s="1360" t="s">
        <v>931</v>
      </c>
      <c r="F48" s="1404">
        <v>1</v>
      </c>
      <c r="G48" s="1404">
        <v>1</v>
      </c>
      <c r="H48" s="1404">
        <v>1</v>
      </c>
      <c r="I48" s="1404"/>
      <c r="J48" s="1404">
        <v>1</v>
      </c>
      <c r="K48" s="1404"/>
      <c r="L48" s="1397"/>
    </row>
    <row r="49" spans="1:16" ht="18.75" outlineLevel="1">
      <c r="A49" s="1353"/>
      <c r="B49" s="1373" t="s">
        <v>937</v>
      </c>
      <c r="C49" s="1402" t="s">
        <v>938</v>
      </c>
      <c r="D49" s="1389"/>
      <c r="E49" s="1360" t="s">
        <v>931</v>
      </c>
      <c r="F49" s="1404">
        <v>1</v>
      </c>
      <c r="G49" s="1404">
        <v>1</v>
      </c>
      <c r="H49" s="1404">
        <v>1</v>
      </c>
      <c r="I49" s="1404"/>
      <c r="J49" s="1404">
        <v>1</v>
      </c>
      <c r="K49" s="1404"/>
      <c r="L49" s="1397"/>
    </row>
    <row r="50" spans="1:16" ht="18.75" outlineLevel="1">
      <c r="A50" s="1353"/>
      <c r="B50" s="1373" t="s">
        <v>939</v>
      </c>
      <c r="C50" s="1405" t="s">
        <v>940</v>
      </c>
      <c r="D50" s="1389"/>
      <c r="E50" s="1360" t="s">
        <v>941</v>
      </c>
      <c r="F50" s="1403">
        <v>0.4</v>
      </c>
      <c r="G50" s="1403">
        <v>0.5</v>
      </c>
      <c r="H50" s="1403">
        <v>0.55000000000000004</v>
      </c>
      <c r="I50" s="1403"/>
      <c r="J50" s="1403">
        <v>0.62</v>
      </c>
      <c r="K50" s="1403"/>
      <c r="L50" s="1397"/>
    </row>
    <row r="51" spans="1:16" ht="18.75" outlineLevel="1">
      <c r="A51" s="1353"/>
      <c r="B51" s="1354" t="s">
        <v>942</v>
      </c>
      <c r="C51" s="1405" t="s">
        <v>943</v>
      </c>
      <c r="D51" s="1389"/>
      <c r="E51" s="1360" t="s">
        <v>941</v>
      </c>
      <c r="F51" s="1403">
        <v>0.3</v>
      </c>
      <c r="G51" s="1403">
        <v>0.25</v>
      </c>
      <c r="H51" s="1403">
        <v>0.2</v>
      </c>
      <c r="I51" s="1403"/>
      <c r="J51" s="1403">
        <v>0.16</v>
      </c>
      <c r="K51" s="1403"/>
      <c r="L51" s="1397"/>
    </row>
    <row r="52" spans="1:16" ht="18.75" outlineLevel="1">
      <c r="A52" s="1353"/>
      <c r="B52" s="1373" t="s">
        <v>944</v>
      </c>
      <c r="C52" s="1405" t="s">
        <v>945</v>
      </c>
      <c r="D52" s="1389"/>
      <c r="E52" s="1360" t="s">
        <v>941</v>
      </c>
      <c r="F52" s="1403">
        <v>0</v>
      </c>
      <c r="G52" s="1403">
        <v>0.1</v>
      </c>
      <c r="H52" s="1403">
        <v>0.1</v>
      </c>
      <c r="I52" s="1403"/>
      <c r="J52" s="1403">
        <v>0.12</v>
      </c>
      <c r="K52" s="1403"/>
      <c r="L52" s="1397"/>
    </row>
    <row r="53" spans="1:16" ht="18.75" outlineLevel="1">
      <c r="A53" s="1353"/>
      <c r="B53" s="1373" t="s">
        <v>946</v>
      </c>
      <c r="C53" s="1405" t="s">
        <v>947</v>
      </c>
      <c r="D53" s="1389"/>
      <c r="E53" s="1405" t="s">
        <v>948</v>
      </c>
      <c r="F53" s="1406">
        <f t="shared" ref="F53:K53" si="1">F50+F51*(1-F50)+F52*(1-F50-F51*(1-F50))</f>
        <v>0.58000000000000007</v>
      </c>
      <c r="G53" s="1406">
        <f t="shared" si="1"/>
        <v>0.66249999999999998</v>
      </c>
      <c r="H53" s="1406">
        <f t="shared" si="1"/>
        <v>0.67600000000000005</v>
      </c>
      <c r="I53" s="1406">
        <f t="shared" si="1"/>
        <v>0</v>
      </c>
      <c r="J53" s="1406">
        <f t="shared" si="1"/>
        <v>0.71910399999999997</v>
      </c>
      <c r="K53" s="1406">
        <f t="shared" si="1"/>
        <v>0</v>
      </c>
      <c r="L53" s="1397"/>
    </row>
    <row r="54" spans="1:16" ht="33" customHeight="1" outlineLevel="1">
      <c r="A54" s="1353"/>
      <c r="B54" s="1354" t="s">
        <v>949</v>
      </c>
      <c r="C54" s="1369" t="s">
        <v>950</v>
      </c>
      <c r="D54" s="1389"/>
      <c r="E54" s="1360"/>
      <c r="F54" s="1403">
        <v>0</v>
      </c>
      <c r="G54" s="1403">
        <v>0</v>
      </c>
      <c r="H54" s="1403">
        <v>0</v>
      </c>
      <c r="I54" s="1403"/>
      <c r="J54" s="1403">
        <v>0</v>
      </c>
      <c r="K54" s="1403"/>
      <c r="L54" s="1397"/>
    </row>
    <row r="55" spans="1:16" outlineLevel="1">
      <c r="A55" s="1353"/>
      <c r="B55" s="1373" t="s">
        <v>951</v>
      </c>
      <c r="C55" s="1407" t="s">
        <v>952</v>
      </c>
      <c r="D55" s="1389" t="s">
        <v>953</v>
      </c>
      <c r="E55" s="1360" t="s">
        <v>954</v>
      </c>
      <c r="F55" s="1403">
        <v>5.4</v>
      </c>
      <c r="G55" s="1403">
        <v>4.7</v>
      </c>
      <c r="H55" s="1403">
        <v>3.7</v>
      </c>
      <c r="I55" s="1403"/>
      <c r="J55" s="1403">
        <v>6.4</v>
      </c>
      <c r="K55" s="1403"/>
      <c r="L55" s="1397"/>
    </row>
    <row r="56" spans="1:16" ht="25.5" outlineLevel="1">
      <c r="A56" s="1353"/>
      <c r="B56" s="1373" t="s">
        <v>955</v>
      </c>
      <c r="C56" s="1366" t="s">
        <v>956</v>
      </c>
      <c r="D56" s="1389" t="s">
        <v>911</v>
      </c>
      <c r="E56" s="1360" t="s">
        <v>957</v>
      </c>
      <c r="F56" s="1408">
        <v>2.2999999999999998</v>
      </c>
      <c r="G56" s="1408">
        <v>2.2999999999999998</v>
      </c>
      <c r="H56" s="1408">
        <v>2.2999999999999998</v>
      </c>
      <c r="I56" s="1408"/>
      <c r="J56" s="1408"/>
      <c r="K56" s="1408"/>
      <c r="L56" s="1397"/>
    </row>
    <row r="57" spans="1:16" ht="25.5" outlineLevel="1">
      <c r="A57" s="1353"/>
      <c r="B57" s="1373" t="s">
        <v>958</v>
      </c>
      <c r="C57" s="1366" t="s">
        <v>959</v>
      </c>
      <c r="D57" s="1389" t="s">
        <v>1</v>
      </c>
      <c r="E57" s="1360" t="s">
        <v>957</v>
      </c>
      <c r="F57" s="1394">
        <v>12.5</v>
      </c>
      <c r="G57" s="1394">
        <v>425</v>
      </c>
      <c r="H57" s="1403">
        <v>100</v>
      </c>
      <c r="I57" s="1403"/>
      <c r="J57" s="1403"/>
      <c r="K57" s="1403"/>
      <c r="L57" s="1397"/>
    </row>
    <row r="58" spans="1:16" ht="30" outlineLevel="1">
      <c r="A58" s="1353"/>
      <c r="B58" s="1409" t="s">
        <v>960</v>
      </c>
      <c r="C58" s="1386" t="s">
        <v>961</v>
      </c>
      <c r="D58" s="1410" t="s">
        <v>1</v>
      </c>
      <c r="E58" s="1360"/>
      <c r="F58" s="1403">
        <v>0</v>
      </c>
      <c r="G58" s="1403">
        <v>0</v>
      </c>
      <c r="H58" s="1403">
        <v>0</v>
      </c>
      <c r="I58" s="1403"/>
      <c r="J58" s="1403">
        <v>2561</v>
      </c>
      <c r="K58" s="1403"/>
      <c r="L58" s="1397"/>
    </row>
    <row r="59" spans="1:16" ht="30.75" outlineLevel="1" thickBot="1">
      <c r="A59" s="1353"/>
      <c r="B59" s="1411" t="s">
        <v>962</v>
      </c>
      <c r="C59" s="1412" t="s">
        <v>963</v>
      </c>
      <c r="D59" s="1413" t="s">
        <v>1</v>
      </c>
      <c r="E59" s="1414"/>
      <c r="F59" s="1415">
        <v>0</v>
      </c>
      <c r="G59" s="1415">
        <v>0</v>
      </c>
      <c r="H59" s="1415">
        <v>0</v>
      </c>
      <c r="I59" s="1415"/>
      <c r="J59" s="1415">
        <v>0</v>
      </c>
      <c r="K59" s="1415"/>
      <c r="L59" s="1416"/>
    </row>
    <row r="60" spans="1:16" ht="30.75" customHeight="1" outlineLevel="1" collapsed="1">
      <c r="A60" s="1417" t="s">
        <v>964</v>
      </c>
      <c r="B60" s="1418" t="s">
        <v>965</v>
      </c>
      <c r="C60" s="1419" t="s">
        <v>966</v>
      </c>
      <c r="D60" s="1420" t="s">
        <v>651</v>
      </c>
      <c r="E60" s="1421" t="s">
        <v>967</v>
      </c>
      <c r="F60" s="1422">
        <f>$F27*0.785*($F29/1000)^2*F28</f>
        <v>14.135887499999999</v>
      </c>
      <c r="G60" s="1422">
        <f>$G27*0.785*($G29/1000)^2*G28</f>
        <v>182.51213497499998</v>
      </c>
      <c r="H60" s="1422">
        <f>$H27*0.785*($H29/1000)^2*H28</f>
        <v>186.87843897450006</v>
      </c>
      <c r="I60" s="1422">
        <f>$I27*0.785*($I29/1000)^2*I28</f>
        <v>0</v>
      </c>
      <c r="J60" s="1422">
        <f>$J27*0.785*($J29/1000)^2*J28</f>
        <v>61.942586732999992</v>
      </c>
      <c r="K60" s="1422">
        <f>$K27*0.785*($K29/1000)^2*K28</f>
        <v>0</v>
      </c>
      <c r="L60" s="1423"/>
      <c r="O60" s="1361"/>
      <c r="P60" s="1424"/>
    </row>
    <row r="61" spans="1:16" ht="30.75" customHeight="1" outlineLevel="1">
      <c r="A61" s="1425"/>
      <c r="B61" s="1426" t="s">
        <v>968</v>
      </c>
      <c r="C61" s="1369" t="s">
        <v>969</v>
      </c>
      <c r="D61" s="1427" t="s">
        <v>651</v>
      </c>
      <c r="E61" s="1386" t="s">
        <v>970</v>
      </c>
      <c r="F61" s="1428">
        <f t="shared" ref="F61:K61" si="2">SUM(F62:F64)</f>
        <v>9.3296857499999994</v>
      </c>
      <c r="G61" s="1428">
        <f t="shared" si="2"/>
        <v>139.16550291843748</v>
      </c>
      <c r="H61" s="1428">
        <f t="shared" si="2"/>
        <v>146.88645303395703</v>
      </c>
      <c r="I61" s="1428">
        <f t="shared" si="2"/>
        <v>0</v>
      </c>
      <c r="J61" s="1428">
        <f t="shared" si="2"/>
        <v>52.224042644939225</v>
      </c>
      <c r="K61" s="1428">
        <f t="shared" si="2"/>
        <v>0</v>
      </c>
      <c r="L61" s="1397"/>
    </row>
    <row r="62" spans="1:16" s="1329" customFormat="1" ht="30.75" customHeight="1" outlineLevel="1">
      <c r="A62" s="1425"/>
      <c r="B62" s="1426" t="s">
        <v>971</v>
      </c>
      <c r="C62" s="1369" t="s">
        <v>972</v>
      </c>
      <c r="D62" s="1427" t="s">
        <v>651</v>
      </c>
      <c r="E62" s="1386" t="s">
        <v>973</v>
      </c>
      <c r="F62" s="1428">
        <f>IF($F47=0,$F46*$F50*F60,$F47*$F50*F60)</f>
        <v>6.7852259999999989</v>
      </c>
      <c r="G62" s="1428">
        <f>IF($G47=0,$G46*$G50*G60,$G47*$G50*G60)</f>
        <v>109.50728098499998</v>
      </c>
      <c r="H62" s="1428">
        <f>IF($H47=0,$H46*$H50*H60,$H47*$H50*H60)</f>
        <v>123.33976972317004</v>
      </c>
      <c r="I62" s="1428">
        <f>IF($I47=0,$I46*$I50*I60,$I47*$I50*I60)</f>
        <v>0</v>
      </c>
      <c r="J62" s="1428">
        <f>IF($J47=0,$J46*$J50*J60,$J47*$J50*J60)</f>
        <v>46.085284529351995</v>
      </c>
      <c r="K62" s="1428">
        <f>IF(K47=0,$K46*$K50*K60,K47*$K50*K60)</f>
        <v>0</v>
      </c>
      <c r="L62" s="1397"/>
      <c r="M62" s="1331"/>
    </row>
    <row r="63" spans="1:16" ht="30.75" customHeight="1" outlineLevel="1">
      <c r="A63" s="1425"/>
      <c r="B63" s="1429" t="s">
        <v>974</v>
      </c>
      <c r="C63" s="1369" t="s">
        <v>975</v>
      </c>
      <c r="D63" s="1427" t="s">
        <v>651</v>
      </c>
      <c r="E63" s="1386" t="s">
        <v>976</v>
      </c>
      <c r="F63" s="1428">
        <f t="shared" ref="F63:K63" si="3">F48*F51*(1-F50)*F60</f>
        <v>2.5444597499999997</v>
      </c>
      <c r="G63" s="1428">
        <f t="shared" si="3"/>
        <v>22.814016871874998</v>
      </c>
      <c r="H63" s="1428">
        <f t="shared" si="3"/>
        <v>16.819059507705006</v>
      </c>
      <c r="I63" s="1428">
        <f t="shared" si="3"/>
        <v>0</v>
      </c>
      <c r="J63" s="1428">
        <f>J48*J51*(1-J50)*J60</f>
        <v>3.7661092733663994</v>
      </c>
      <c r="K63" s="1428">
        <f t="shared" si="3"/>
        <v>0</v>
      </c>
      <c r="L63" s="1397"/>
    </row>
    <row r="64" spans="1:16" ht="30.75" customHeight="1" outlineLevel="1">
      <c r="A64" s="1425"/>
      <c r="B64" s="1426" t="s">
        <v>977</v>
      </c>
      <c r="C64" s="1369" t="s">
        <v>978</v>
      </c>
      <c r="D64" s="1427" t="s">
        <v>651</v>
      </c>
      <c r="E64" s="1386" t="s">
        <v>979</v>
      </c>
      <c r="F64" s="1428">
        <f>$F49*$F52*F$60*(1-F$50-(1-F$50)*F$51)</f>
        <v>0</v>
      </c>
      <c r="G64" s="1428">
        <f>$G49*$G52*G$60*(1-G$50-(1-G$50)*G$51)</f>
        <v>6.8442050615624996</v>
      </c>
      <c r="H64" s="1428">
        <f>$H49*$H52*H$60*(1-H$50-(1-H$50)*H$51)</f>
        <v>6.7276238030820013</v>
      </c>
      <c r="I64" s="1428">
        <f>$I49*$I52*I$60*(1-I$50-(1-I$50)*I$51)</f>
        <v>0</v>
      </c>
      <c r="J64" s="1428">
        <f>$J49*$J52*J$60*(1-J$50-(1-J$50)*J$51)</f>
        <v>2.3726488422208312</v>
      </c>
      <c r="K64" s="1428">
        <f>$K49*$K52*K$60*(1-K$50-(1-K$50)*K$51)</f>
        <v>0</v>
      </c>
      <c r="L64" s="1397"/>
    </row>
    <row r="65" spans="1:12" ht="30.75" customHeight="1" thickBot="1">
      <c r="A65" s="1430"/>
      <c r="B65" s="1431" t="s">
        <v>980</v>
      </c>
      <c r="C65" s="1432" t="s">
        <v>981</v>
      </c>
      <c r="D65" s="1433" t="s">
        <v>651</v>
      </c>
      <c r="E65" s="1434" t="s">
        <v>982</v>
      </c>
      <c r="F65" s="1435">
        <f t="shared" ref="F65:K65" si="4">SUM(F60:F61)</f>
        <v>23.465573249999998</v>
      </c>
      <c r="G65" s="1435">
        <f t="shared" si="4"/>
        <v>321.67763789343746</v>
      </c>
      <c r="H65" s="1435">
        <f t="shared" si="4"/>
        <v>333.76489200845708</v>
      </c>
      <c r="I65" s="1435">
        <f t="shared" si="4"/>
        <v>0</v>
      </c>
      <c r="J65" s="1435">
        <f t="shared" si="4"/>
        <v>114.16662937793922</v>
      </c>
      <c r="K65" s="1435">
        <f t="shared" si="4"/>
        <v>0</v>
      </c>
      <c r="L65" s="1436">
        <f>SUM(F65:K65)</f>
        <v>793.07473252983368</v>
      </c>
    </row>
    <row r="66" spans="1:12" outlineLevel="1">
      <c r="A66" s="1437" t="s">
        <v>983</v>
      </c>
      <c r="B66" s="1438" t="s">
        <v>984</v>
      </c>
      <c r="C66" s="1369" t="s">
        <v>985</v>
      </c>
      <c r="D66" s="1420" t="s">
        <v>651</v>
      </c>
      <c r="E66" s="1386" t="s">
        <v>986</v>
      </c>
      <c r="F66" s="1422">
        <f t="shared" ref="F66:K66" si="5">F67+F75</f>
        <v>175.2711927368421</v>
      </c>
      <c r="G66" s="1422">
        <f t="shared" si="5"/>
        <v>639.27327104812503</v>
      </c>
      <c r="H66" s="1422">
        <f t="shared" si="5"/>
        <v>817.91570937160748</v>
      </c>
      <c r="I66" s="1422" t="e">
        <f t="shared" si="5"/>
        <v>#DIV/0!</v>
      </c>
      <c r="J66" s="1422">
        <f t="shared" si="5"/>
        <v>557.58275461202606</v>
      </c>
      <c r="K66" s="1422" t="e">
        <f t="shared" si="5"/>
        <v>#DIV/0!</v>
      </c>
      <c r="L66" s="1439"/>
    </row>
    <row r="67" spans="1:12" ht="42.75" outlineLevel="1">
      <c r="A67" s="1440"/>
      <c r="B67" s="1426" t="s">
        <v>987</v>
      </c>
      <c r="C67" s="1369" t="s">
        <v>988</v>
      </c>
      <c r="D67" s="1427" t="s">
        <v>651</v>
      </c>
      <c r="E67" s="1371" t="s">
        <v>989</v>
      </c>
      <c r="F67" s="1428">
        <f t="shared" ref="F67:K67" si="6">IF(2*F68+F69&gt;F68+F69+$F30,2*F68+F69,F68+F69+$F30)</f>
        <v>167.66757325</v>
      </c>
      <c r="G67" s="1428">
        <f t="shared" si="6"/>
        <v>582.23822886843743</v>
      </c>
      <c r="H67" s="1428">
        <f t="shared" si="6"/>
        <v>758.29150146795712</v>
      </c>
      <c r="I67" s="1428">
        <f t="shared" si="6"/>
        <v>130</v>
      </c>
      <c r="J67" s="1428">
        <f t="shared" si="6"/>
        <v>536.96662937793917</v>
      </c>
      <c r="K67" s="1428">
        <f t="shared" si="6"/>
        <v>130</v>
      </c>
      <c r="L67" s="1441"/>
    </row>
    <row r="68" spans="1:12" ht="23.25" customHeight="1" outlineLevel="1">
      <c r="A68" s="1440"/>
      <c r="B68" s="1426" t="s">
        <v>990</v>
      </c>
      <c r="C68" s="1369" t="s">
        <v>991</v>
      </c>
      <c r="D68" s="1427" t="s">
        <v>651</v>
      </c>
      <c r="E68" s="1386" t="s">
        <v>992</v>
      </c>
      <c r="F68" s="1428">
        <f>$F27*0.785*($F29/1000)^2*(F28)+0.785*($F24/1000)^2*$F16</f>
        <v>14.135887499999999</v>
      </c>
      <c r="G68" s="1428">
        <f>$G27*0.785*($G29/1000)^2*(G28)+0.785*($G24/1000)^2*$G16</f>
        <v>188.91836297499998</v>
      </c>
      <c r="H68" s="1428">
        <f>$H27*0.785*($H29/1000)^2*(H28)+0.785*($H24/1000)^2*$H16</f>
        <v>263.50402421700005</v>
      </c>
      <c r="I68" s="1428">
        <f>$I27*0.785*($I29/1000)^2*(I28)+0.785*($I24/1000)^2*$I16</f>
        <v>0</v>
      </c>
      <c r="J68" s="1428">
        <f>I68+J27*0.785*(J29/1000)^2*J28</f>
        <v>61.942586732999992</v>
      </c>
      <c r="K68" s="1428">
        <f>I68+K27*0.785*(K29/1000)^2*K28</f>
        <v>0</v>
      </c>
      <c r="L68" s="1441"/>
    </row>
    <row r="69" spans="1:12" ht="23.25" customHeight="1" outlineLevel="1">
      <c r="A69" s="1440"/>
      <c r="B69" s="1426" t="s">
        <v>993</v>
      </c>
      <c r="C69" s="1369" t="s">
        <v>994</v>
      </c>
      <c r="D69" s="1427" t="s">
        <v>651</v>
      </c>
      <c r="E69" s="1386" t="s">
        <v>995</v>
      </c>
      <c r="F69" s="1428">
        <f t="shared" ref="F69:K69" si="7">F61+F70</f>
        <v>23.531685750000001</v>
      </c>
      <c r="G69" s="1428">
        <f t="shared" si="7"/>
        <v>204.40150291843747</v>
      </c>
      <c r="H69" s="1428">
        <f t="shared" si="7"/>
        <v>231.28345303395702</v>
      </c>
      <c r="I69" s="1428">
        <f t="shared" si="7"/>
        <v>0</v>
      </c>
      <c r="J69" s="1428">
        <f t="shared" si="7"/>
        <v>345.02404264493924</v>
      </c>
      <c r="K69" s="1428">
        <f t="shared" si="7"/>
        <v>0</v>
      </c>
      <c r="L69" s="1441"/>
    </row>
    <row r="70" spans="1:12" ht="23.25" customHeight="1" outlineLevel="1">
      <c r="A70" s="1440"/>
      <c r="B70" s="1426" t="s">
        <v>996</v>
      </c>
      <c r="C70" s="1369" t="s">
        <v>997</v>
      </c>
      <c r="D70" s="1427" t="s">
        <v>651</v>
      </c>
      <c r="E70" s="1386" t="s">
        <v>998</v>
      </c>
      <c r="F70" s="1428">
        <f t="shared" ref="F70:K70" si="8">F55*F12</f>
        <v>14.202</v>
      </c>
      <c r="G70" s="1428">
        <f t="shared" si="8"/>
        <v>65.236000000000004</v>
      </c>
      <c r="H70" s="1428">
        <f t="shared" si="8"/>
        <v>84.397000000000006</v>
      </c>
      <c r="I70" s="1428">
        <f t="shared" si="8"/>
        <v>0</v>
      </c>
      <c r="J70" s="1428">
        <f t="shared" si="8"/>
        <v>292.8</v>
      </c>
      <c r="K70" s="1428">
        <f t="shared" si="8"/>
        <v>0</v>
      </c>
      <c r="L70" s="1441"/>
    </row>
    <row r="71" spans="1:12" ht="23.25" customHeight="1" outlineLevel="1">
      <c r="A71" s="1440"/>
      <c r="B71" s="1426" t="s">
        <v>999</v>
      </c>
      <c r="C71" s="1442" t="s">
        <v>1000</v>
      </c>
      <c r="D71" s="1427"/>
      <c r="E71" s="1443" t="s">
        <v>1001</v>
      </c>
      <c r="F71" s="1444">
        <f t="shared" ref="F71:K71" si="9">(F76-F33)/F33*F67</f>
        <v>-148.1158935521</v>
      </c>
      <c r="G71" s="1444">
        <f t="shared" si="9"/>
        <v>-0.7861811725518898</v>
      </c>
      <c r="H71" s="1444">
        <f t="shared" si="9"/>
        <v>-73.753067528184744</v>
      </c>
      <c r="I71" s="1444" t="e">
        <f t="shared" si="9"/>
        <v>#DIV/0!</v>
      </c>
      <c r="J71" s="1444">
        <f t="shared" si="9"/>
        <v>-104.80906185014356</v>
      </c>
      <c r="K71" s="1444" t="e">
        <f t="shared" si="9"/>
        <v>#DIV/0!</v>
      </c>
      <c r="L71" s="1441"/>
    </row>
    <row r="72" spans="1:12" ht="23.25" customHeight="1" outlineLevel="1">
      <c r="A72" s="1440"/>
      <c r="B72" s="1426" t="s">
        <v>999</v>
      </c>
      <c r="C72" s="1442" t="s">
        <v>1000</v>
      </c>
      <c r="D72" s="1427"/>
      <c r="E72" s="1443" t="s">
        <v>1002</v>
      </c>
      <c r="F72" s="1444">
        <f t="shared" ref="F72:K72" si="10">(F78-F32)*(F67+(1-F53)*F60)/F32</f>
        <v>7.6036194868420957</v>
      </c>
      <c r="G72" s="1444">
        <f t="shared" si="10"/>
        <v>57.035042179687579</v>
      </c>
      <c r="H72" s="1444">
        <f t="shared" si="10"/>
        <v>59.624207903650394</v>
      </c>
      <c r="I72" s="1444" t="e">
        <f t="shared" si="10"/>
        <v>#DIV/0!</v>
      </c>
      <c r="J72" s="1444">
        <f t="shared" si="10"/>
        <v>20.616125234086873</v>
      </c>
      <c r="K72" s="1444" t="e">
        <f t="shared" si="10"/>
        <v>#DIV/0!</v>
      </c>
      <c r="L72" s="1441"/>
    </row>
    <row r="73" spans="1:12" ht="23.25" customHeight="1" outlineLevel="1">
      <c r="A73" s="1440"/>
      <c r="B73" s="1426" t="s">
        <v>999</v>
      </c>
      <c r="C73" s="1367" t="s">
        <v>1000</v>
      </c>
      <c r="D73" s="1427"/>
      <c r="E73" s="1443" t="s">
        <v>1003</v>
      </c>
      <c r="F73" s="1444">
        <f t="shared" ref="F73:K73" si="11">(F77-F35)/F35*F67</f>
        <v>-161.73050050000001</v>
      </c>
      <c r="G73" s="1444">
        <f t="shared" si="11"/>
        <v>-520.64038331437496</v>
      </c>
      <c r="H73" s="1444">
        <f t="shared" si="11"/>
        <v>-697.74288724021915</v>
      </c>
      <c r="I73" s="1444" t="e">
        <f t="shared" si="11"/>
        <v>#DIV/0!</v>
      </c>
      <c r="J73" s="1444">
        <f t="shared" si="11"/>
        <v>-519.56720453498644</v>
      </c>
      <c r="K73" s="1444" t="e">
        <f t="shared" si="11"/>
        <v>#DIV/0!</v>
      </c>
      <c r="L73" s="1441"/>
    </row>
    <row r="74" spans="1:12" ht="23.25" customHeight="1" outlineLevel="1">
      <c r="A74" s="1440"/>
      <c r="B74" s="1426" t="s">
        <v>999</v>
      </c>
      <c r="C74" s="1442" t="s">
        <v>1000</v>
      </c>
      <c r="D74" s="1427"/>
      <c r="E74" s="1443" t="s">
        <v>1004</v>
      </c>
      <c r="F74" s="1444">
        <f t="shared" ref="F74:K74" si="12">(F80-F37)/F37*F67</f>
        <v>-156.00256113761876</v>
      </c>
      <c r="G74" s="1444">
        <f t="shared" si="12"/>
        <v>-67.878124124884025</v>
      </c>
      <c r="H74" s="1444">
        <f t="shared" si="12"/>
        <v>-734.22857600411737</v>
      </c>
      <c r="I74" s="1444" t="e">
        <f t="shared" si="12"/>
        <v>#DIV/0!</v>
      </c>
      <c r="J74" s="1444">
        <f t="shared" si="12"/>
        <v>-536.96662937793917</v>
      </c>
      <c r="K74" s="1444" t="e">
        <f t="shared" si="12"/>
        <v>#DIV/0!</v>
      </c>
      <c r="L74" s="1441"/>
    </row>
    <row r="75" spans="1:12" ht="30" outlineLevel="1">
      <c r="A75" s="1440"/>
      <c r="B75" s="1426" t="s">
        <v>1005</v>
      </c>
      <c r="C75" s="1369" t="s">
        <v>1006</v>
      </c>
      <c r="D75" s="1427" t="s">
        <v>651</v>
      </c>
      <c r="E75" s="1445" t="s">
        <v>1007</v>
      </c>
      <c r="F75" s="1428">
        <f t="shared" ref="F75:K75" si="13">IF(MAX(F71,F72,F73,F74)&gt;0,MAX(F71,F72,F73,F74),0)</f>
        <v>7.6036194868420957</v>
      </c>
      <c r="G75" s="1428">
        <f t="shared" si="13"/>
        <v>57.035042179687579</v>
      </c>
      <c r="H75" s="1428">
        <f t="shared" si="13"/>
        <v>59.624207903650394</v>
      </c>
      <c r="I75" s="1428" t="e">
        <f t="shared" si="13"/>
        <v>#DIV/0!</v>
      </c>
      <c r="J75" s="1428">
        <f t="shared" si="13"/>
        <v>20.616125234086873</v>
      </c>
      <c r="K75" s="1428" t="e">
        <f t="shared" si="13"/>
        <v>#DIV/0!</v>
      </c>
      <c r="L75" s="1441"/>
    </row>
    <row r="76" spans="1:12" ht="27.95" customHeight="1" outlineLevel="1">
      <c r="A76" s="1440"/>
      <c r="B76" s="1426" t="s">
        <v>1008</v>
      </c>
      <c r="C76" s="1369" t="s">
        <v>1009</v>
      </c>
      <c r="D76" s="1427" t="s">
        <v>203</v>
      </c>
      <c r="E76" s="1386" t="s">
        <v>1010</v>
      </c>
      <c r="F76" s="1428">
        <f>((1-$F53)*F60/(F67))*100+F34</f>
        <v>11.660978517740906</v>
      </c>
      <c r="G76" s="1428">
        <f>((1-$G53)*G60/(G67))*100+G34</f>
        <v>29.959491778438537</v>
      </c>
      <c r="H76" s="1428">
        <f>((1-$H53)*H60/(H67))*100+H34</f>
        <v>27.984873114168298</v>
      </c>
      <c r="I76" s="1428">
        <f>((1-$I53)*I60/(I67))*100+I34</f>
        <v>0</v>
      </c>
      <c r="J76" s="1428">
        <f>((1-$J53)*J60/(J67))*100+J34</f>
        <v>20.120317720136448</v>
      </c>
      <c r="K76" s="1428">
        <f>((1-$K53)*K60/(K67))*100+K34</f>
        <v>0</v>
      </c>
      <c r="L76" s="1441"/>
    </row>
    <row r="77" spans="1:12" ht="18.75" outlineLevel="1">
      <c r="A77" s="1440"/>
      <c r="B77" s="1429" t="s">
        <v>1011</v>
      </c>
      <c r="C77" s="1369" t="s">
        <v>1012</v>
      </c>
      <c r="D77" s="1427" t="s">
        <v>203</v>
      </c>
      <c r="E77" s="1386" t="s">
        <v>1013</v>
      </c>
      <c r="F77" s="1428">
        <f>((1-$F53)*F60/(F67))*100</f>
        <v>3.5409785177409066</v>
      </c>
      <c r="G77" s="1428">
        <f>((1-$G53)*G60/(G67))*100</f>
        <v>10.579491778438538</v>
      </c>
      <c r="H77" s="1428">
        <f>((1-$H53)*H60/(H67))*100</f>
        <v>7.9848731141682974</v>
      </c>
      <c r="I77" s="1428">
        <f>((1-$I53)*I60/(I67))*100</f>
        <v>0</v>
      </c>
      <c r="J77" s="1428">
        <f>((1-$J53)*J60/(J67))*100</f>
        <v>3.2403177201364479</v>
      </c>
      <c r="K77" s="1428">
        <f>((1-$K53)*K60/(K67))*100</f>
        <v>0</v>
      </c>
      <c r="L77" s="1441"/>
    </row>
    <row r="78" spans="1:12" ht="35.25" customHeight="1" outlineLevel="1">
      <c r="A78" s="1440"/>
      <c r="B78" s="1426" t="s">
        <v>1014</v>
      </c>
      <c r="C78" s="1369" t="s">
        <v>1015</v>
      </c>
      <c r="D78" s="1427" t="s">
        <v>897</v>
      </c>
      <c r="E78" s="1446" t="s">
        <v>1016</v>
      </c>
      <c r="F78" s="1428">
        <f>((F32*F67+$F79*(1-$F53)*F60))/(F67+(1-$F53)*F60)</f>
        <v>1.1899302663535858</v>
      </c>
      <c r="G78" s="1428">
        <f>((G32*G67+G79*(1-G53)*G60))/(G67+(1-G53)*G60)</f>
        <v>1.4695914767771321</v>
      </c>
      <c r="H78" s="1428">
        <f>((H32*H67+H79*(1-H53)*H60))/(H67+(1-H53)*H60)</f>
        <v>1.4053882337425798</v>
      </c>
      <c r="I78" s="1428">
        <f>((I32*I67+I79*(1-I53)*I60))/(I67+(1-I53)*I60)</f>
        <v>0</v>
      </c>
      <c r="J78" s="1428">
        <f>((J32*J67+J79*(1-J53)*J60))/(J67+(1-J53)*J60)</f>
        <v>1.2342544936540936</v>
      </c>
      <c r="K78" s="1428">
        <f>((K32*K67+K79*(1-K53)*K60))/(K67+(1-K53)*K60)</f>
        <v>0</v>
      </c>
      <c r="L78" s="1441"/>
    </row>
    <row r="79" spans="1:12" ht="38.25" customHeight="1" outlineLevel="1">
      <c r="A79" s="1440"/>
      <c r="B79" s="1429" t="s">
        <v>1017</v>
      </c>
      <c r="C79" s="1366" t="s">
        <v>1018</v>
      </c>
      <c r="D79" s="1427" t="s">
        <v>897</v>
      </c>
      <c r="E79" s="1447" t="s">
        <v>1019</v>
      </c>
      <c r="F79" s="1408">
        <v>2.6</v>
      </c>
      <c r="G79" s="1408">
        <v>2.6</v>
      </c>
      <c r="H79" s="1408">
        <v>2.6</v>
      </c>
      <c r="I79" s="1408"/>
      <c r="J79" s="1408">
        <v>2.6</v>
      </c>
      <c r="K79" s="1408"/>
      <c r="L79" s="1441"/>
    </row>
    <row r="80" spans="1:12" ht="38.25" customHeight="1" outlineLevel="1">
      <c r="A80" s="1440"/>
      <c r="B80" s="1429" t="s">
        <v>1020</v>
      </c>
      <c r="C80" s="1369" t="s">
        <v>1021</v>
      </c>
      <c r="D80" s="1427" t="s">
        <v>911</v>
      </c>
      <c r="E80" s="1386" t="s">
        <v>1022</v>
      </c>
      <c r="F80" s="1428">
        <f t="shared" ref="F80:K80" si="14">F81/(F67)</f>
        <v>13.914452134388776</v>
      </c>
      <c r="G80" s="1428">
        <f t="shared" si="14"/>
        <v>70.673491260537375</v>
      </c>
      <c r="H80" s="1428">
        <f t="shared" si="14"/>
        <v>2.2213156539510086</v>
      </c>
      <c r="I80" s="1428">
        <f t="shared" si="14"/>
        <v>0</v>
      </c>
      <c r="J80" s="1428">
        <f t="shared" si="14"/>
        <v>0</v>
      </c>
      <c r="K80" s="1428">
        <f t="shared" si="14"/>
        <v>0</v>
      </c>
      <c r="L80" s="1441"/>
    </row>
    <row r="81" spans="1:12" ht="30.75" customHeight="1" outlineLevel="1">
      <c r="A81" s="1440"/>
      <c r="B81" s="1426" t="s">
        <v>1023</v>
      </c>
      <c r="C81" s="1369" t="s">
        <v>1024</v>
      </c>
      <c r="D81" s="1427" t="s">
        <v>289</v>
      </c>
      <c r="E81" s="1386" t="s">
        <v>1025</v>
      </c>
      <c r="F81" s="1428">
        <f t="shared" ref="F81:K81" si="15">(1-F36)*F82</f>
        <v>2333.0024224762492</v>
      </c>
      <c r="G81" s="1428">
        <f t="shared" si="15"/>
        <v>41148.808379484275</v>
      </c>
      <c r="H81" s="1428">
        <f t="shared" si="15"/>
        <v>1684.4047824687873</v>
      </c>
      <c r="I81" s="1428">
        <f t="shared" si="15"/>
        <v>0</v>
      </c>
      <c r="J81" s="1428">
        <f t="shared" si="15"/>
        <v>0</v>
      </c>
      <c r="K81" s="1428">
        <f t="shared" si="15"/>
        <v>0</v>
      </c>
      <c r="L81" s="1441"/>
    </row>
    <row r="82" spans="1:12" ht="30" outlineLevel="1">
      <c r="A82" s="1440"/>
      <c r="B82" s="1429" t="s">
        <v>1026</v>
      </c>
      <c r="C82" s="1369" t="s">
        <v>1027</v>
      </c>
      <c r="D82" s="1427" t="s">
        <v>289</v>
      </c>
      <c r="E82" s="1447" t="s">
        <v>1028</v>
      </c>
      <c r="F82" s="1428">
        <f>F83*$F56*1000</f>
        <v>3413.8168312499988</v>
      </c>
      <c r="G82" s="1428">
        <f>G83*$G56*1000</f>
        <v>60211.894029096096</v>
      </c>
      <c r="H82" s="1428">
        <f>H83*$H56*1000</f>
        <v>6631.5148916093985</v>
      </c>
      <c r="I82" s="1428">
        <f>I83*$I56*1000</f>
        <v>0</v>
      </c>
      <c r="J82" s="1428">
        <f>J83*$J56*1000</f>
        <v>0</v>
      </c>
      <c r="K82" s="1428">
        <f>K83*$K56*1000</f>
        <v>0</v>
      </c>
      <c r="L82" s="1441"/>
    </row>
    <row r="83" spans="1:12" ht="30" outlineLevel="1">
      <c r="A83" s="1440"/>
      <c r="B83" s="1429" t="s">
        <v>1029</v>
      </c>
      <c r="C83" s="1369" t="s">
        <v>1030</v>
      </c>
      <c r="D83" s="1427" t="s">
        <v>651</v>
      </c>
      <c r="E83" s="1386" t="s">
        <v>1031</v>
      </c>
      <c r="F83" s="1428">
        <f t="shared" ref="F83:K83" si="16">(1-F53)*F27*0.785*(F29/1000)^2*F57</f>
        <v>1.4842681874999997</v>
      </c>
      <c r="G83" s="1428">
        <f t="shared" si="16"/>
        <v>26.179084360476566</v>
      </c>
      <c r="H83" s="1428">
        <f t="shared" si="16"/>
        <v>2.8832673441779999</v>
      </c>
      <c r="I83" s="1428">
        <f t="shared" si="16"/>
        <v>0</v>
      </c>
      <c r="J83" s="1428">
        <f t="shared" si="16"/>
        <v>0</v>
      </c>
      <c r="K83" s="1428">
        <f t="shared" si="16"/>
        <v>0</v>
      </c>
      <c r="L83" s="1441"/>
    </row>
    <row r="84" spans="1:12" ht="30" outlineLevel="1">
      <c r="A84" s="1440"/>
      <c r="B84" s="1429" t="s">
        <v>1032</v>
      </c>
      <c r="C84" s="1369" t="s">
        <v>1033</v>
      </c>
      <c r="D84" s="1427" t="s">
        <v>651</v>
      </c>
      <c r="E84" s="1386" t="s">
        <v>1034</v>
      </c>
      <c r="F84" s="1406">
        <v>3</v>
      </c>
      <c r="G84" s="1406">
        <v>12</v>
      </c>
      <c r="H84" s="1406">
        <v>8</v>
      </c>
      <c r="I84" s="1406">
        <f>0.785*(I27*(I29/1000)^2-(I25/1000)^2)*I58</f>
        <v>0</v>
      </c>
      <c r="J84" s="1406">
        <v>22</v>
      </c>
      <c r="K84" s="1406">
        <v>0</v>
      </c>
      <c r="L84" s="1441"/>
    </row>
    <row r="85" spans="1:12" ht="30" outlineLevel="1">
      <c r="A85" s="1440"/>
      <c r="B85" s="1429" t="s">
        <v>1035</v>
      </c>
      <c r="C85" s="1369" t="s">
        <v>1036</v>
      </c>
      <c r="D85" s="1427" t="s">
        <v>651</v>
      </c>
      <c r="E85" s="1386" t="s">
        <v>1037</v>
      </c>
      <c r="F85" s="1406">
        <f t="shared" ref="F85:K85" si="17">0.785*(F27*(F29/1000)^2-(F21/1000)^2)*F59</f>
        <v>0</v>
      </c>
      <c r="G85" s="1406">
        <f t="shared" si="17"/>
        <v>0</v>
      </c>
      <c r="H85" s="1406">
        <f t="shared" si="17"/>
        <v>0</v>
      </c>
      <c r="I85" s="1406">
        <f>0.785*(I27*(I29/1000)^2-(I21/1000)^2)*I59</f>
        <v>0</v>
      </c>
      <c r="J85" s="1406">
        <f t="shared" si="17"/>
        <v>0</v>
      </c>
      <c r="K85" s="1406">
        <f t="shared" si="17"/>
        <v>0</v>
      </c>
      <c r="L85" s="1441"/>
    </row>
    <row r="86" spans="1:12" ht="46.5" customHeight="1" outlineLevel="1">
      <c r="A86" s="1440"/>
      <c r="B86" s="1429" t="s">
        <v>1038</v>
      </c>
      <c r="C86" s="1369" t="s">
        <v>1039</v>
      </c>
      <c r="D86" s="1427" t="s">
        <v>651</v>
      </c>
      <c r="E86" s="1371" t="s">
        <v>1040</v>
      </c>
      <c r="F86" s="1406">
        <f t="shared" ref="F86:K86" si="18">IF(AND(F26&gt;0,F38="нет"),F26*((3.14*(F24/1000)^2*F16/4)+(3.14*F27*(F29/1000)^2*F19/4)+20),0)</f>
        <v>20</v>
      </c>
      <c r="G86" s="1406">
        <f t="shared" si="18"/>
        <v>26.406228000000002</v>
      </c>
      <c r="H86" s="1406">
        <f t="shared" si="18"/>
        <v>96.625585242500009</v>
      </c>
      <c r="I86" s="1406">
        <f t="shared" si="18"/>
        <v>0</v>
      </c>
      <c r="J86" s="1406">
        <f t="shared" si="18"/>
        <v>144.89382415789999</v>
      </c>
      <c r="K86" s="1406">
        <f t="shared" si="18"/>
        <v>0</v>
      </c>
      <c r="L86" s="1441"/>
    </row>
    <row r="87" spans="1:12" ht="45" outlineLevel="1">
      <c r="A87" s="1440"/>
      <c r="B87" s="1429" t="s">
        <v>1041</v>
      </c>
      <c r="C87" s="1369" t="s">
        <v>1042</v>
      </c>
      <c r="D87" s="1427" t="s">
        <v>651</v>
      </c>
      <c r="E87" s="1386" t="s">
        <v>1043</v>
      </c>
      <c r="F87" s="1406">
        <f t="shared" ref="F87:K87" si="19">0.785*((F29/1000)^2-(F25/1000)^2)*(F18)</f>
        <v>0</v>
      </c>
      <c r="G87" s="1406">
        <f t="shared" si="19"/>
        <v>0</v>
      </c>
      <c r="H87" s="1406">
        <f t="shared" si="19"/>
        <v>0</v>
      </c>
      <c r="I87" s="1406">
        <f t="shared" si="19"/>
        <v>0</v>
      </c>
      <c r="J87" s="1406">
        <f t="shared" si="19"/>
        <v>34.368838325249982</v>
      </c>
      <c r="K87" s="1406">
        <f t="shared" si="19"/>
        <v>0</v>
      </c>
      <c r="L87" s="1441"/>
    </row>
    <row r="88" spans="1:12" ht="30" outlineLevel="1">
      <c r="A88" s="1440"/>
      <c r="B88" s="1429" t="s">
        <v>1044</v>
      </c>
      <c r="C88" s="1369" t="s">
        <v>1045</v>
      </c>
      <c r="D88" s="1427" t="s">
        <v>651</v>
      </c>
      <c r="E88" s="1386" t="s">
        <v>1046</v>
      </c>
      <c r="F88" s="1428">
        <f t="shared" ref="F88:K88" si="20">IF(F19&gt;0,0.785*(F27*(F29/1000)^2*(F28-F19)),0)</f>
        <v>0</v>
      </c>
      <c r="G88" s="1428">
        <f t="shared" si="20"/>
        <v>0</v>
      </c>
      <c r="H88" s="1428">
        <f t="shared" si="20"/>
        <v>0</v>
      </c>
      <c r="I88" s="1428">
        <f t="shared" si="20"/>
        <v>0</v>
      </c>
      <c r="J88" s="1428">
        <f t="shared" si="20"/>
        <v>0</v>
      </c>
      <c r="K88" s="1428">
        <f t="shared" si="20"/>
        <v>0</v>
      </c>
      <c r="L88" s="1441"/>
    </row>
    <row r="89" spans="1:12" ht="30.75" customHeight="1" outlineLevel="1">
      <c r="A89" s="1440"/>
      <c r="B89" s="1429" t="s">
        <v>1047</v>
      </c>
      <c r="C89" s="1369" t="s">
        <v>1048</v>
      </c>
      <c r="D89" s="1427" t="s">
        <v>651</v>
      </c>
      <c r="E89" s="1371" t="s">
        <v>1049</v>
      </c>
      <c r="F89" s="1428">
        <f>F66-F69-F88-$F90</f>
        <v>151.73950698684209</v>
      </c>
      <c r="G89" s="1428">
        <f>G66-G69-G88-G90</f>
        <v>434.87176812968755</v>
      </c>
      <c r="H89" s="1428">
        <f>H66-H69-H88-H90</f>
        <v>586.63225633765046</v>
      </c>
      <c r="I89" s="1428" t="e">
        <f>I66-I69-I88-I90</f>
        <v>#DIV/0!</v>
      </c>
      <c r="J89" s="1428">
        <f>J66-J69-J88-J90</f>
        <v>208.18854856826283</v>
      </c>
      <c r="K89" s="1428" t="e">
        <f>K66-K69-K88-$K90</f>
        <v>#DIV/0!</v>
      </c>
      <c r="L89" s="1441"/>
    </row>
    <row r="90" spans="1:12" ht="43.5" customHeight="1" outlineLevel="1">
      <c r="A90" s="1440"/>
      <c r="B90" s="1429" t="s">
        <v>1050</v>
      </c>
      <c r="C90" s="1369" t="s">
        <v>1051</v>
      </c>
      <c r="D90" s="1427" t="s">
        <v>651</v>
      </c>
      <c r="E90" s="1386" t="s">
        <v>1052</v>
      </c>
      <c r="F90" s="1406">
        <f t="shared" ref="F90:K90" si="21">IF(0.785*((F24/1000)-(F25/1000))^2*(F18-F87)&gt;0,0.785*((F24/1000)-(F25/1000))^2*(F18-F87),0)</f>
        <v>0</v>
      </c>
      <c r="G90" s="1406">
        <f t="shared" si="21"/>
        <v>0</v>
      </c>
      <c r="H90" s="1406">
        <f t="shared" si="21"/>
        <v>0</v>
      </c>
      <c r="I90" s="1406">
        <f t="shared" si="21"/>
        <v>0</v>
      </c>
      <c r="J90" s="1406">
        <f t="shared" si="21"/>
        <v>4.3701633988239861</v>
      </c>
      <c r="K90" s="1406">
        <f t="shared" si="21"/>
        <v>0</v>
      </c>
      <c r="L90" s="1441"/>
    </row>
    <row r="91" spans="1:12" s="1314" customFormat="1" ht="30" outlineLevel="1">
      <c r="A91" s="1440"/>
      <c r="B91" s="1448" t="s">
        <v>1053</v>
      </c>
      <c r="C91" s="1386" t="s">
        <v>1054</v>
      </c>
      <c r="D91" s="1427" t="s">
        <v>651</v>
      </c>
      <c r="E91" s="1371" t="s">
        <v>1055</v>
      </c>
      <c r="F91" s="1406">
        <f>SUM(F67:F67)-SUM(F69:F69)-SUM(F88:F88)-SUM(F31:F31)+SUM(F75:F75)+SUM(F84:F84)+SUM(F85:F85)+SUM(F86:F86)-SUM(F87:F87)</f>
        <v>174.73950698684209</v>
      </c>
      <c r="G91" s="1406">
        <f>G67-G69-G88-G31+G75+G84+G85+G86-G87</f>
        <v>433.27799612968755</v>
      </c>
      <c r="H91" s="1406">
        <f>H67-H69-H88-H31+H75+H84+H85+H86-H87</f>
        <v>651.25784158015051</v>
      </c>
      <c r="I91" s="1406" t="e">
        <f>I67-I69-I88-I31+I75+I84+I85+I86-I87</f>
        <v>#DIV/0!</v>
      </c>
      <c r="J91" s="1406">
        <f>J67-J69-J88-J31+J75+J84+J85+J86-J87</f>
        <v>345.0836977997368</v>
      </c>
      <c r="K91" s="1406" t="e">
        <f>SUM(K67)-SUM(K69)-SUM(K88)-SUM(K31)+SUM(K75)+SUM(K84)+SUM(K85)+SUM(K86)-SUM(K87)</f>
        <v>#DIV/0!</v>
      </c>
      <c r="L91" s="1441"/>
    </row>
    <row r="92" spans="1:12" ht="33" customHeight="1" thickBot="1">
      <c r="A92" s="1449"/>
      <c r="B92" s="1450" t="s">
        <v>1056</v>
      </c>
      <c r="C92" s="1432" t="s">
        <v>1057</v>
      </c>
      <c r="D92" s="1451" t="s">
        <v>651</v>
      </c>
      <c r="E92" s="1434" t="s">
        <v>1058</v>
      </c>
      <c r="F92" s="1452">
        <f t="shared" ref="F92:K92" si="22">(1-F54)*F91</f>
        <v>174.73950698684209</v>
      </c>
      <c r="G92" s="1452">
        <f t="shared" si="22"/>
        <v>433.27799612968755</v>
      </c>
      <c r="H92" s="1452">
        <f t="shared" si="22"/>
        <v>651.25784158015051</v>
      </c>
      <c r="I92" s="1452" t="e">
        <f>(1-I54)*I91</f>
        <v>#DIV/0!</v>
      </c>
      <c r="J92" s="1452">
        <f t="shared" si="22"/>
        <v>345.0836977997368</v>
      </c>
      <c r="K92" s="1452" t="e">
        <f t="shared" si="22"/>
        <v>#DIV/0!</v>
      </c>
      <c r="L92" s="1453">
        <f>F92+G92+H92+J92</f>
        <v>1604.3590424964168</v>
      </c>
    </row>
    <row r="93" spans="1:12" ht="32.25" customHeight="1" outlineLevel="1">
      <c r="A93" s="1454" t="s">
        <v>1059</v>
      </c>
      <c r="B93" s="1455" t="s">
        <v>1060</v>
      </c>
      <c r="C93" s="1369" t="s">
        <v>1061</v>
      </c>
      <c r="D93" s="1420" t="s">
        <v>651</v>
      </c>
      <c r="E93" s="1386" t="s">
        <v>1062</v>
      </c>
      <c r="F93" s="1456">
        <f t="shared" ref="F93:K93" si="23">F95+F96</f>
        <v>27.52711927368421</v>
      </c>
      <c r="G93" s="1456">
        <f t="shared" si="23"/>
        <v>73.927327104812505</v>
      </c>
      <c r="H93" s="1456">
        <f t="shared" si="23"/>
        <v>10</v>
      </c>
      <c r="I93" s="1456" t="e">
        <f t="shared" si="23"/>
        <v>#DIV/0!</v>
      </c>
      <c r="J93" s="1456">
        <f t="shared" si="23"/>
        <v>10</v>
      </c>
      <c r="K93" s="1456" t="e">
        <f t="shared" si="23"/>
        <v>#DIV/0!</v>
      </c>
      <c r="L93" s="1457"/>
    </row>
    <row r="94" spans="1:12" ht="23.25" customHeight="1" outlineLevel="1">
      <c r="A94" s="1458"/>
      <c r="B94" s="1426" t="s">
        <v>999</v>
      </c>
      <c r="C94" s="1369"/>
      <c r="D94" s="1459"/>
      <c r="E94" s="1386"/>
      <c r="F94" s="1406">
        <f>COUNTIF(F31:F31,"=0")</f>
        <v>1</v>
      </c>
      <c r="G94" s="1406">
        <v>1</v>
      </c>
      <c r="H94" s="1406">
        <v>0</v>
      </c>
      <c r="I94" s="1406">
        <v>0</v>
      </c>
      <c r="J94" s="1406">
        <v>0</v>
      </c>
      <c r="K94" s="1406">
        <v>1</v>
      </c>
      <c r="L94" s="1460"/>
    </row>
    <row r="95" spans="1:12" ht="30" outlineLevel="1">
      <c r="A95" s="1458"/>
      <c r="B95" s="1461" t="s">
        <v>1063</v>
      </c>
      <c r="C95" s="1369" t="s">
        <v>1064</v>
      </c>
      <c r="D95" s="1427" t="s">
        <v>651</v>
      </c>
      <c r="E95" s="1386" t="s">
        <v>1065</v>
      </c>
      <c r="F95" s="1406">
        <f>(F94)*0.1*SUM(F66:F66)</f>
        <v>17.52711927368421</v>
      </c>
      <c r="G95" s="1406">
        <f>(G94)*0.1*SUM(G66:G66)</f>
        <v>63.927327104812505</v>
      </c>
      <c r="H95" s="1406">
        <f>(H94)*0.1*SUM(H66:H66)</f>
        <v>0</v>
      </c>
      <c r="I95" s="1406" t="e">
        <f>(I94)*0.1*SUM(I66:I66)</f>
        <v>#DIV/0!</v>
      </c>
      <c r="J95" s="1406">
        <f>(J94)*0.1*SUM(J66:J66)</f>
        <v>0</v>
      </c>
      <c r="K95" s="1406" t="e">
        <f>(K94)*0.1*SUM(K66)</f>
        <v>#DIV/0!</v>
      </c>
      <c r="L95" s="1460"/>
    </row>
    <row r="96" spans="1:12" ht="30" outlineLevel="1">
      <c r="A96" s="1458"/>
      <c r="B96" s="1461" t="s">
        <v>1066</v>
      </c>
      <c r="C96" s="1369" t="s">
        <v>1067</v>
      </c>
      <c r="D96" s="1427" t="s">
        <v>651</v>
      </c>
      <c r="E96" s="1386" t="s">
        <v>1068</v>
      </c>
      <c r="F96" s="1462">
        <f t="shared" ref="F96:K96" si="24">10*F26</f>
        <v>10</v>
      </c>
      <c r="G96" s="1462">
        <f t="shared" si="24"/>
        <v>10</v>
      </c>
      <c r="H96" s="1462">
        <f t="shared" si="24"/>
        <v>10</v>
      </c>
      <c r="I96" s="1462">
        <f t="shared" si="24"/>
        <v>0</v>
      </c>
      <c r="J96" s="1462">
        <f t="shared" si="24"/>
        <v>10</v>
      </c>
      <c r="K96" s="1462">
        <f t="shared" si="24"/>
        <v>0</v>
      </c>
      <c r="L96" s="1460"/>
    </row>
    <row r="97" spans="1:12" ht="30" outlineLevel="1">
      <c r="A97" s="1458"/>
      <c r="B97" s="1461" t="s">
        <v>1069</v>
      </c>
      <c r="C97" s="1369" t="s">
        <v>1070</v>
      </c>
      <c r="D97" s="1427" t="s">
        <v>651</v>
      </c>
      <c r="E97" s="1386" t="s">
        <v>1071</v>
      </c>
      <c r="F97" s="1406">
        <v>0</v>
      </c>
      <c r="G97" s="1406">
        <v>0</v>
      </c>
      <c r="H97" s="1406">
        <v>0</v>
      </c>
      <c r="I97" s="1406">
        <v>0</v>
      </c>
      <c r="J97" s="1406">
        <v>0</v>
      </c>
      <c r="K97" s="1406">
        <v>0</v>
      </c>
      <c r="L97" s="1460"/>
    </row>
    <row r="98" spans="1:12" ht="30" outlineLevel="1">
      <c r="A98" s="1458"/>
      <c r="B98" s="1461" t="s">
        <v>1072</v>
      </c>
      <c r="C98" s="1369" t="s">
        <v>1073</v>
      </c>
      <c r="D98" s="1427" t="s">
        <v>953</v>
      </c>
      <c r="E98" s="1386" t="s">
        <v>1074</v>
      </c>
      <c r="F98" s="1406">
        <v>0</v>
      </c>
      <c r="G98" s="1406">
        <v>0</v>
      </c>
      <c r="H98" s="1406">
        <v>0</v>
      </c>
      <c r="I98" s="1406">
        <v>0</v>
      </c>
      <c r="J98" s="1406">
        <v>0</v>
      </c>
      <c r="K98" s="1406">
        <v>0</v>
      </c>
      <c r="L98" s="1460"/>
    </row>
    <row r="99" spans="1:12" ht="30.75" customHeight="1" outlineLevel="1">
      <c r="A99" s="1458"/>
      <c r="B99" s="1461" t="s">
        <v>1075</v>
      </c>
      <c r="C99" s="1369" t="s">
        <v>1076</v>
      </c>
      <c r="D99" s="1427" t="s">
        <v>651</v>
      </c>
      <c r="E99" s="1386" t="s">
        <v>1077</v>
      </c>
      <c r="F99" s="1406">
        <v>0</v>
      </c>
      <c r="G99" s="1406">
        <v>0</v>
      </c>
      <c r="H99" s="1406">
        <v>0</v>
      </c>
      <c r="I99" s="1406">
        <v>0</v>
      </c>
      <c r="J99" s="1406">
        <v>0</v>
      </c>
      <c r="K99" s="1406">
        <v>0</v>
      </c>
      <c r="L99" s="1460"/>
    </row>
    <row r="100" spans="1:12" ht="30" outlineLevel="1">
      <c r="A100" s="1458"/>
      <c r="B100" s="1461" t="s">
        <v>1078</v>
      </c>
      <c r="C100" s="1369" t="s">
        <v>1079</v>
      </c>
      <c r="D100" s="1427" t="s">
        <v>651</v>
      </c>
      <c r="E100" s="1371" t="s">
        <v>1080</v>
      </c>
      <c r="F100" s="1406">
        <v>0</v>
      </c>
      <c r="G100" s="1406">
        <v>0</v>
      </c>
      <c r="H100" s="1406">
        <v>0</v>
      </c>
      <c r="I100" s="1406">
        <v>0</v>
      </c>
      <c r="J100" s="1406">
        <v>0</v>
      </c>
      <c r="K100" s="1406">
        <v>0</v>
      </c>
      <c r="L100" s="1460"/>
    </row>
    <row r="101" spans="1:12" ht="30" outlineLevel="1">
      <c r="A101" s="1458"/>
      <c r="B101" s="1461" t="s">
        <v>1081</v>
      </c>
      <c r="C101" s="1369" t="s">
        <v>1082</v>
      </c>
      <c r="D101" s="1427" t="s">
        <v>651</v>
      </c>
      <c r="E101" s="1446" t="s">
        <v>1083</v>
      </c>
      <c r="F101" s="1406">
        <f>IF($F$42=TRUE,$F39*$F$40*F12/30,0)</f>
        <v>27.614999999999998</v>
      </c>
      <c r="G101" s="1406">
        <f>IF($F$42=TRUE,$F39*$F$40*G12/30,0)</f>
        <v>145.73999999999998</v>
      </c>
      <c r="H101" s="1406">
        <f>IF($F$42=TRUE,$F39*$F$40*H12/30,0)</f>
        <v>239.505</v>
      </c>
      <c r="I101" s="1406">
        <f>IF($F$42=TRUE,$F39*$F$40*I12/30,0)</f>
        <v>0</v>
      </c>
      <c r="J101" s="1406">
        <f>IF($F$42=TRUE,$F39*$F$40*J12/30,0)</f>
        <v>480.375</v>
      </c>
      <c r="K101" s="1406">
        <f>IF($F$42=TRUE,$F39*$F$40*I12/30,0)</f>
        <v>0</v>
      </c>
      <c r="L101" s="1460"/>
    </row>
    <row r="102" spans="1:12" ht="30" outlineLevel="1">
      <c r="A102" s="1458"/>
      <c r="B102" s="1461" t="s">
        <v>1084</v>
      </c>
      <c r="C102" s="1369" t="s">
        <v>1085</v>
      </c>
      <c r="D102" s="1427" t="s">
        <v>651</v>
      </c>
      <c r="E102" s="1446" t="s">
        <v>1086</v>
      </c>
      <c r="F102" s="1406">
        <f>IF($F$42=TRUE,$F39*$F$41*F12/30,0)</f>
        <v>0</v>
      </c>
      <c r="G102" s="1406">
        <f>IF($F$42=TRUE,$F39*$F$41*G12/30,0)</f>
        <v>0</v>
      </c>
      <c r="H102" s="1406">
        <f>IF($F$42=TRUE,$F39*$F$41*H12/30,0)</f>
        <v>0</v>
      </c>
      <c r="I102" s="1406">
        <f>IF($F$42=TRUE,$F39*$F$41*I12/30,0)</f>
        <v>0</v>
      </c>
      <c r="J102" s="1406">
        <f>IF($F$42=TRUE,$F39*$F$41*J12/30,0)</f>
        <v>0</v>
      </c>
      <c r="K102" s="1406">
        <f>IF($F$42=TRUE,$F39*$F$41*I12/30,0)</f>
        <v>0</v>
      </c>
      <c r="L102" s="1460"/>
    </row>
    <row r="103" spans="1:12" ht="21.75" customHeight="1" thickBot="1">
      <c r="A103" s="1458"/>
      <c r="B103" s="1463" t="s">
        <v>1087</v>
      </c>
      <c r="C103" s="1432" t="s">
        <v>1088</v>
      </c>
      <c r="D103" s="1451" t="s">
        <v>651</v>
      </c>
      <c r="E103" s="1464" t="s">
        <v>1089</v>
      </c>
      <c r="F103" s="1435">
        <f>F93+$F99+$F100+F101</f>
        <v>55.142119273684209</v>
      </c>
      <c r="G103" s="1435">
        <f>G93+G99+G100+G101</f>
        <v>219.6673271048125</v>
      </c>
      <c r="H103" s="1435">
        <f>H93+H99+H100+H101</f>
        <v>249.505</v>
      </c>
      <c r="I103" s="1435" t="e">
        <f>I93+I99+I100+I101</f>
        <v>#DIV/0!</v>
      </c>
      <c r="J103" s="1435">
        <f>J93+J99+J100+J101</f>
        <v>490.375</v>
      </c>
      <c r="K103" s="1435" t="e">
        <f>K93+K99+K100+K101</f>
        <v>#DIV/0!</v>
      </c>
      <c r="L103" s="1465">
        <f>F103+G103+H103+J103</f>
        <v>1014.6894463784968</v>
      </c>
    </row>
    <row r="104" spans="1:12" ht="27" customHeight="1" thickBot="1">
      <c r="A104" s="2567" t="s">
        <v>1090</v>
      </c>
      <c r="B104" s="2568"/>
      <c r="C104" s="1369" t="s">
        <v>1091</v>
      </c>
      <c r="D104" s="1466" t="s">
        <v>651</v>
      </c>
      <c r="E104" s="1467" t="s">
        <v>1092</v>
      </c>
      <c r="F104" s="1468">
        <f>F103+F92+F65</f>
        <v>253.34719951052631</v>
      </c>
      <c r="G104" s="1468">
        <f>G103+G92+G65</f>
        <v>974.62296112793751</v>
      </c>
      <c r="H104" s="1468">
        <f>H103+H92+H65</f>
        <v>1234.5277335886076</v>
      </c>
      <c r="I104" s="1468" t="e">
        <f>I103+I92+I65</f>
        <v>#DIV/0!</v>
      </c>
      <c r="J104" s="1468">
        <f>J103+J92+J65</f>
        <v>949.62532717767601</v>
      </c>
      <c r="K104" s="1468" t="e">
        <f>K103+SUM(K92)+K65</f>
        <v>#DIV/0!</v>
      </c>
      <c r="L104" s="1469">
        <f>F104+G104+H104+J104</f>
        <v>3412.1232214047473</v>
      </c>
    </row>
    <row r="105" spans="1:12" ht="27" customHeight="1" thickBot="1">
      <c r="A105" s="2569" t="s">
        <v>1093</v>
      </c>
      <c r="B105" s="2570"/>
      <c r="C105" s="1470"/>
      <c r="D105" s="1470"/>
      <c r="E105" s="1470"/>
      <c r="F105" s="1470"/>
      <c r="G105" s="1470"/>
      <c r="H105" s="1470"/>
      <c r="I105" s="1470"/>
      <c r="J105" s="1470"/>
      <c r="K105" s="1470"/>
      <c r="L105" s="1471"/>
    </row>
    <row r="106" spans="1:12" ht="21" customHeight="1">
      <c r="A106" s="1472" t="s">
        <v>1094</v>
      </c>
      <c r="B106" s="1473" t="s">
        <v>1095</v>
      </c>
      <c r="C106" s="1474"/>
      <c r="D106" s="1474"/>
      <c r="E106" s="1475"/>
      <c r="F106" s="1476">
        <f>$F103+(100-F34)/100*(F66+$F86-F31-F70-F88)+$F84+$F85-$F87</f>
        <v>224.50849356029474</v>
      </c>
      <c r="G106" s="1477">
        <f>$G103+(100-G34)/100*(G66+$G86-G31-G70-G88)+$G84+$G85-$G87</f>
        <v>683.49687603741097</v>
      </c>
      <c r="H106" s="1477">
        <f>$H103+(100-H34)/100*(H66+$H86-H31-H70-H88)+$H84+$H85-$H87</f>
        <v>889.62043569128605</v>
      </c>
      <c r="I106" s="1477" t="e">
        <f>$I103+(100-I34)/100*(I66+$I86-I31-I70-I88)+$I84+$I85-$I87</f>
        <v>#DIV/0!</v>
      </c>
      <c r="J106" s="1477">
        <f>$J103+(100-J34)/100*(J66+$J86-J31-J70-J88)+$J84+$J85-$J87</f>
        <v>818.52933394831257</v>
      </c>
      <c r="K106" s="1477" t="e">
        <f>$K103+(100-K34)/100*(K66+$K86-K31-K70-K88)+$K84+$K85-$K87</f>
        <v>#DIV/0!</v>
      </c>
      <c r="L106" s="1478">
        <f>SUM(F106+G106+H106+J106)</f>
        <v>2616.155139237304</v>
      </c>
    </row>
    <row r="107" spans="1:12" ht="21" customHeight="1" thickBot="1">
      <c r="A107" s="1479" t="s">
        <v>1096</v>
      </c>
      <c r="B107" s="1480" t="s">
        <v>1097</v>
      </c>
      <c r="C107" s="1481"/>
      <c r="D107" s="1481"/>
      <c r="E107" s="1482"/>
      <c r="F107" s="1483">
        <f>F60+(F34)/100*(F66+$F86-$F90-F31-F70-F88)</f>
        <v>28.838705950231578</v>
      </c>
      <c r="G107" s="1484">
        <f>G60+(G34)/100*(G66+$G86-$G90-G31-G70-G88)</f>
        <v>291.12608509052666</v>
      </c>
      <c r="H107" s="1484">
        <f>H60+(H34)/100*(H66+$H86-$H90-H31-H70-H88)</f>
        <v>344.90729789732154</v>
      </c>
      <c r="I107" s="1484" t="e">
        <f>I60+(I34)/100*(I66+$I86-$I90-I31-I70-I88)</f>
        <v>#DIV/0!</v>
      </c>
      <c r="J107" s="1484">
        <f>J60+(J34)/100*(J66+$J86-$J90-J31-J70-J88)</f>
        <v>130.35830964764202</v>
      </c>
      <c r="K107" s="1484" t="e">
        <f>K60+(K34)/100*(K66+$K86-$K90-K31-K70-K88)</f>
        <v>#DIV/0!</v>
      </c>
      <c r="L107" s="1469">
        <f>SUM(F107+G107+H107+J107)</f>
        <v>795.23039858572179</v>
      </c>
    </row>
    <row r="108" spans="1:12" ht="24" customHeight="1">
      <c r="A108" s="1485"/>
      <c r="B108" s="1486"/>
      <c r="L108" s="1487"/>
    </row>
    <row r="109" spans="1:12" ht="21">
      <c r="B109" s="1488" t="s">
        <v>1098</v>
      </c>
      <c r="C109" s="1489"/>
      <c r="F109" s="1490">
        <v>1.9</v>
      </c>
    </row>
    <row r="110" spans="1:12">
      <c r="A110" s="1491"/>
      <c r="B110" s="1329" t="s">
        <v>1099</v>
      </c>
    </row>
    <row r="112" spans="1:12">
      <c r="A112" s="1492"/>
      <c r="B112" s="1329" t="s">
        <v>1100</v>
      </c>
      <c r="F112" s="1309"/>
      <c r="G112" s="1309"/>
      <c r="H112" s="1309"/>
      <c r="I112" s="1309"/>
      <c r="J112" s="1309"/>
      <c r="K112" s="1309"/>
    </row>
    <row r="113" spans="1:12" ht="15" hidden="1" customHeight="1"/>
    <row r="114" spans="1:12" ht="15" hidden="1" customHeight="1"/>
    <row r="115" spans="1:12" ht="15.75" thickBot="1"/>
    <row r="116" spans="1:12" ht="24">
      <c r="B116" s="1493" t="s">
        <v>1101</v>
      </c>
      <c r="C116" s="1494"/>
      <c r="D116" s="1495"/>
      <c r="E116" s="1496"/>
      <c r="F116" s="1497">
        <f>SUM(F117:F119)</f>
        <v>4183.9290584766914</v>
      </c>
    </row>
    <row r="117" spans="1:12" ht="15.75">
      <c r="B117" s="1498" t="s">
        <v>1102</v>
      </c>
      <c r="C117" s="1498"/>
      <c r="D117" s="1499" t="s">
        <v>964</v>
      </c>
      <c r="E117" s="1496"/>
      <c r="F117" s="1500">
        <f>(L65+SUM(F83:J83))*F109</f>
        <v>1564.8805696017776</v>
      </c>
    </row>
    <row r="118" spans="1:12" ht="18.75">
      <c r="B118" s="1501"/>
      <c r="C118" s="1502"/>
      <c r="D118" s="1499" t="s">
        <v>983</v>
      </c>
      <c r="E118" s="1496"/>
      <c r="F118" s="1500">
        <f>L92</f>
        <v>1604.3590424964168</v>
      </c>
    </row>
    <row r="119" spans="1:12" ht="15.75">
      <c r="B119" s="1503"/>
      <c r="C119" s="1502"/>
      <c r="D119" s="1499" t="s">
        <v>1059</v>
      </c>
      <c r="E119" s="1496"/>
      <c r="F119" s="1504">
        <f>L103</f>
        <v>1014.6894463784968</v>
      </c>
    </row>
    <row r="121" spans="1:12" ht="15.75">
      <c r="B121" s="1316" t="s">
        <v>1103</v>
      </c>
      <c r="C121" s="1317"/>
      <c r="D121" s="1318"/>
      <c r="E121" s="1505" t="s">
        <v>1104</v>
      </c>
    </row>
    <row r="122" spans="1:12" ht="81.75" customHeight="1">
      <c r="B122" s="2571" t="s">
        <v>1105</v>
      </c>
      <c r="C122" s="2571"/>
    </row>
    <row r="123" spans="1:12" ht="15.75">
      <c r="A123" s="2559"/>
      <c r="B123" s="2559"/>
      <c r="C123" s="1503"/>
      <c r="D123" s="1502"/>
      <c r="E123" s="1499"/>
      <c r="F123" s="1496"/>
      <c r="G123" s="1506"/>
      <c r="H123" s="1507"/>
      <c r="I123" s="1507"/>
      <c r="J123" s="1507"/>
    </row>
    <row r="124" spans="1:12" ht="15.75">
      <c r="A124" s="1506"/>
      <c r="B124" s="1506"/>
      <c r="C124" s="1503"/>
      <c r="D124" s="1502"/>
      <c r="E124" s="1499"/>
      <c r="F124" s="1496"/>
      <c r="G124" s="1506"/>
      <c r="H124" s="1507"/>
      <c r="I124" s="1508"/>
      <c r="J124" s="1508"/>
    </row>
    <row r="125" spans="1:12" ht="15.75" customHeight="1">
      <c r="A125" s="2559"/>
      <c r="B125" s="2559"/>
      <c r="C125" s="2559"/>
      <c r="D125" s="2559"/>
      <c r="E125" s="2559"/>
      <c r="F125" s="2559"/>
      <c r="G125" s="2559"/>
      <c r="H125" s="1509"/>
      <c r="I125" s="2560"/>
      <c r="J125" s="2560"/>
      <c r="L125" s="1510"/>
    </row>
    <row r="126" spans="1:12" ht="15.75">
      <c r="A126" s="1509"/>
      <c r="B126" s="1317"/>
      <c r="C126" s="1317"/>
      <c r="D126" s="1317"/>
      <c r="E126" s="1317"/>
      <c r="F126" s="1509"/>
      <c r="G126" s="1509"/>
      <c r="H126" s="1509"/>
      <c r="I126" s="1317"/>
      <c r="J126" s="1511"/>
    </row>
    <row r="127" spans="1:12" ht="15.75">
      <c r="A127" s="1512"/>
      <c r="B127" s="1317"/>
      <c r="C127" s="1317"/>
      <c r="D127" s="1317"/>
      <c r="E127" s="1317"/>
      <c r="F127" s="1509"/>
      <c r="G127" s="1509"/>
      <c r="H127" s="1509"/>
      <c r="I127" s="1317"/>
      <c r="J127" s="1511"/>
    </row>
    <row r="128" spans="1:12" ht="15.75">
      <c r="A128" s="1509"/>
      <c r="B128" s="1317"/>
      <c r="C128" s="1317"/>
      <c r="D128" s="1317"/>
      <c r="E128" s="1317"/>
      <c r="F128" s="1509"/>
      <c r="G128" s="1509"/>
      <c r="H128" s="1509"/>
      <c r="I128" s="1317"/>
      <c r="J128" s="1511"/>
    </row>
    <row r="129" spans="1:12" ht="15.75">
      <c r="A129" s="1512"/>
      <c r="B129" s="1317"/>
      <c r="C129" s="1317"/>
      <c r="D129" s="1317"/>
      <c r="E129" s="1317"/>
      <c r="F129" s="1509"/>
      <c r="G129" s="1509"/>
      <c r="H129" s="1509"/>
      <c r="I129" s="1513"/>
      <c r="J129" s="1513"/>
      <c r="L129" s="1513"/>
    </row>
    <row r="130" spans="1:12" ht="15.75">
      <c r="A130" s="1514"/>
      <c r="B130" s="1317"/>
      <c r="C130" s="1317"/>
      <c r="D130" s="1317"/>
      <c r="E130" s="1317"/>
      <c r="F130" s="1509"/>
      <c r="G130" s="1509"/>
      <c r="H130" s="1509"/>
      <c r="I130" s="1515"/>
      <c r="J130" s="1516"/>
      <c r="L130" s="1516"/>
    </row>
    <row r="131" spans="1:12" ht="15.75">
      <c r="A131" s="1512"/>
      <c r="B131" s="1317"/>
      <c r="C131" s="1317"/>
      <c r="D131" s="1317"/>
      <c r="E131" s="1317"/>
      <c r="F131" s="1509"/>
      <c r="G131" s="1509"/>
      <c r="H131" s="1509"/>
      <c r="I131" s="1513"/>
      <c r="J131" s="1513"/>
      <c r="L131" s="1513"/>
    </row>
    <row r="132" spans="1:12" ht="15.75">
      <c r="A132" s="1514"/>
      <c r="B132" s="1317"/>
      <c r="C132" s="1317"/>
      <c r="D132" s="1317"/>
      <c r="E132" s="1317"/>
      <c r="F132" s="1509"/>
      <c r="G132" s="1509"/>
      <c r="H132" s="1509"/>
      <c r="I132" s="1515"/>
      <c r="J132" s="1516"/>
      <c r="L132" s="1516"/>
    </row>
    <row r="133" spans="1:12" ht="15.75">
      <c r="A133" s="1512"/>
      <c r="B133" s="1317"/>
      <c r="C133" s="1317"/>
      <c r="D133" s="1317"/>
      <c r="E133" s="1317"/>
      <c r="F133" s="1509"/>
      <c r="G133" s="1509"/>
      <c r="H133" s="1509"/>
      <c r="I133" s="1513"/>
      <c r="J133" s="1513"/>
      <c r="L133" s="1513"/>
    </row>
    <row r="134" spans="1:12" ht="15.75">
      <c r="A134" s="1514"/>
      <c r="B134" s="1317"/>
      <c r="C134" s="1317"/>
      <c r="D134" s="1317"/>
      <c r="E134" s="1317"/>
      <c r="F134" s="1509"/>
      <c r="G134" s="1509"/>
      <c r="H134" s="1509"/>
      <c r="I134" s="1515"/>
      <c r="J134" s="1516"/>
      <c r="L134" s="1516"/>
    </row>
    <row r="135" spans="1:12" ht="15.75">
      <c r="A135" s="1512"/>
      <c r="B135" s="1317"/>
      <c r="C135" s="1317"/>
      <c r="D135" s="1317"/>
      <c r="E135" s="1317"/>
      <c r="F135" s="1509"/>
      <c r="G135" s="1509"/>
      <c r="H135" s="1509"/>
      <c r="I135" s="1513"/>
      <c r="J135" s="1513"/>
      <c r="L135" s="1513"/>
    </row>
    <row r="136" spans="1:12" ht="15.75">
      <c r="A136" s="1514"/>
      <c r="B136" s="1317"/>
      <c r="C136" s="1317"/>
      <c r="D136" s="1317"/>
      <c r="E136" s="1317"/>
      <c r="F136" s="1509"/>
      <c r="G136" s="1509"/>
      <c r="H136" s="1509"/>
      <c r="I136" s="1517"/>
      <c r="J136" s="1518"/>
      <c r="L136" s="1518"/>
    </row>
    <row r="137" spans="1:12" ht="15.75">
      <c r="A137" s="1519"/>
      <c r="B137" s="1317"/>
      <c r="C137" s="1317"/>
      <c r="D137" s="1317"/>
      <c r="E137" s="1317"/>
      <c r="F137" s="1509"/>
      <c r="G137" s="1509"/>
      <c r="H137" s="1509"/>
      <c r="I137" s="1520"/>
      <c r="J137" s="1520"/>
      <c r="L137" s="1520"/>
    </row>
    <row r="138" spans="1:12">
      <c r="J138" s="1309"/>
    </row>
  </sheetData>
  <mergeCells count="19">
    <mergeCell ref="F30:K30"/>
    <mergeCell ref="C2:E2"/>
    <mergeCell ref="F2:K2"/>
    <mergeCell ref="A6:L6"/>
    <mergeCell ref="F13:K13"/>
    <mergeCell ref="F14:K14"/>
    <mergeCell ref="A125:G125"/>
    <mergeCell ref="I125:J125"/>
    <mergeCell ref="F39:K39"/>
    <mergeCell ref="F40:K40"/>
    <mergeCell ref="F41:K41"/>
    <mergeCell ref="F42:K42"/>
    <mergeCell ref="F43:K43"/>
    <mergeCell ref="F44:K44"/>
    <mergeCell ref="F45:K45"/>
    <mergeCell ref="A104:B104"/>
    <mergeCell ref="A105:B105"/>
    <mergeCell ref="B122:C122"/>
    <mergeCell ref="A123:B123"/>
  </mergeCells>
  <conditionalFormatting sqref="F31:K31">
    <cfRule type="cellIs" dxfId="0" priority="1" stopIfTrue="1" operator="greaterThan">
      <formula>F$89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46" fitToHeight="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3" workbookViewId="0">
      <selection activeCell="C102" sqref="C102"/>
    </sheetView>
  </sheetViews>
  <sheetFormatPr defaultRowHeight="12.75"/>
  <cols>
    <col min="1" max="1" width="29.140625" style="1758" customWidth="1"/>
    <col min="2" max="2" width="27.7109375" style="1758" customWidth="1"/>
    <col min="3" max="3" width="53.140625" style="1758" customWidth="1"/>
    <col min="4" max="4" width="18.42578125" style="1758" customWidth="1"/>
    <col min="5" max="6" width="14.5703125" style="1758" customWidth="1"/>
    <col min="7" max="7" width="15.140625" style="1758" customWidth="1"/>
    <col min="8" max="8" width="19.140625" style="1758" customWidth="1"/>
    <col min="9" max="9" width="15.140625" style="1758" customWidth="1"/>
    <col min="10" max="11" width="16.5703125" style="1758" customWidth="1"/>
  </cols>
  <sheetData>
    <row r="1" spans="1:11" ht="64.5" thickBot="1">
      <c r="A1" s="1997" t="s">
        <v>0</v>
      </c>
      <c r="B1" s="1998" t="s">
        <v>1171</v>
      </c>
      <c r="C1" s="1999" t="s">
        <v>1108</v>
      </c>
      <c r="D1" s="2000" t="s">
        <v>820</v>
      </c>
      <c r="E1" s="2001" t="s">
        <v>1110</v>
      </c>
      <c r="F1" s="2002" t="s">
        <v>1111</v>
      </c>
      <c r="G1" s="2003" t="s">
        <v>1112</v>
      </c>
      <c r="H1" s="2004" t="s">
        <v>1113</v>
      </c>
      <c r="I1" s="2005" t="s">
        <v>1114</v>
      </c>
      <c r="J1" s="2276" t="s">
        <v>1115</v>
      </c>
      <c r="K1" s="2277"/>
    </row>
    <row r="2" spans="1:11" ht="15">
      <c r="A2" s="2006">
        <v>1</v>
      </c>
      <c r="B2" s="2007" t="s">
        <v>35</v>
      </c>
      <c r="C2" s="2008"/>
      <c r="D2" s="2009" t="s">
        <v>821</v>
      </c>
      <c r="E2" s="2010">
        <v>0</v>
      </c>
      <c r="F2" s="2011"/>
      <c r="G2" s="2012"/>
      <c r="H2" s="2013"/>
      <c r="I2" s="2014"/>
      <c r="J2" s="2015"/>
      <c r="K2" s="2012"/>
    </row>
    <row r="3" spans="1:11" ht="15">
      <c r="A3" s="2006">
        <v>2</v>
      </c>
      <c r="B3" s="2007" t="s">
        <v>35</v>
      </c>
      <c r="C3" s="2008"/>
      <c r="D3" s="2009" t="s">
        <v>821</v>
      </c>
      <c r="E3" s="2010">
        <v>0</v>
      </c>
      <c r="F3" s="2011"/>
      <c r="G3" s="2012"/>
      <c r="H3" s="2013"/>
      <c r="I3" s="2014"/>
      <c r="J3" s="2015"/>
      <c r="K3" s="2012"/>
    </row>
    <row r="4" spans="1:11" ht="15">
      <c r="A4" s="2006">
        <v>3</v>
      </c>
      <c r="B4" s="2007" t="s">
        <v>35</v>
      </c>
      <c r="C4" s="2008"/>
      <c r="D4" s="2009" t="s">
        <v>821</v>
      </c>
      <c r="E4" s="2010">
        <v>0</v>
      </c>
      <c r="F4" s="2011"/>
      <c r="G4" s="2012"/>
      <c r="H4" s="2013"/>
      <c r="I4" s="2014"/>
      <c r="J4" s="2015"/>
      <c r="K4" s="2012"/>
    </row>
    <row r="5" spans="1:11" ht="15">
      <c r="A5" s="2006">
        <v>4</v>
      </c>
      <c r="B5" s="2007" t="s">
        <v>35</v>
      </c>
      <c r="C5" s="2008"/>
      <c r="D5" s="2009" t="s">
        <v>821</v>
      </c>
      <c r="E5" s="2010">
        <v>0</v>
      </c>
      <c r="F5" s="2011"/>
      <c r="G5" s="2012"/>
      <c r="H5" s="2013"/>
      <c r="I5" s="2014"/>
      <c r="J5" s="2015"/>
      <c r="K5" s="2012"/>
    </row>
    <row r="6" spans="1:11" ht="15" hidden="1">
      <c r="A6" s="2006">
        <v>5</v>
      </c>
      <c r="B6" s="2007" t="s">
        <v>35</v>
      </c>
      <c r="C6" s="2008"/>
      <c r="D6" s="2009" t="s">
        <v>821</v>
      </c>
      <c r="E6" s="2010">
        <v>0</v>
      </c>
      <c r="F6" s="2011"/>
      <c r="G6" s="2012"/>
      <c r="H6" s="2013"/>
      <c r="I6" s="2014"/>
      <c r="J6" s="2015"/>
      <c r="K6" s="2012"/>
    </row>
    <row r="7" spans="1:11" ht="15" hidden="1">
      <c r="A7" s="2006">
        <v>6</v>
      </c>
      <c r="B7" s="2007" t="s">
        <v>35</v>
      </c>
      <c r="C7" s="2008"/>
      <c r="D7" s="2009" t="s">
        <v>821</v>
      </c>
      <c r="E7" s="2010">
        <v>0</v>
      </c>
      <c r="F7" s="2011"/>
      <c r="G7" s="2012"/>
      <c r="H7" s="2013"/>
      <c r="I7" s="2014"/>
      <c r="J7" s="2015"/>
      <c r="K7" s="2012"/>
    </row>
    <row r="8" spans="1:11" ht="15" hidden="1">
      <c r="A8" s="2006">
        <v>7</v>
      </c>
      <c r="B8" s="2007" t="s">
        <v>35</v>
      </c>
      <c r="C8" s="2008"/>
      <c r="D8" s="2009" t="s">
        <v>821</v>
      </c>
      <c r="E8" s="2010">
        <v>0</v>
      </c>
      <c r="F8" s="2011"/>
      <c r="G8" s="2012"/>
      <c r="H8" s="2013"/>
      <c r="I8" s="2014"/>
      <c r="J8" s="2015"/>
      <c r="K8" s="2012"/>
    </row>
    <row r="9" spans="1:11" ht="15" hidden="1">
      <c r="A9" s="2006">
        <v>8</v>
      </c>
      <c r="B9" s="2007" t="s">
        <v>35</v>
      </c>
      <c r="C9" s="2008"/>
      <c r="D9" s="2009" t="s">
        <v>821</v>
      </c>
      <c r="E9" s="2010">
        <v>0</v>
      </c>
      <c r="F9" s="2011"/>
      <c r="G9" s="2012"/>
      <c r="H9" s="2013"/>
      <c r="I9" s="2014"/>
      <c r="J9" s="2015"/>
      <c r="K9" s="2012"/>
    </row>
    <row r="10" spans="1:11" ht="15" hidden="1">
      <c r="A10" s="2006">
        <v>9</v>
      </c>
      <c r="B10" s="2007" t="s">
        <v>35</v>
      </c>
      <c r="C10" s="2008"/>
      <c r="D10" s="2009" t="s">
        <v>821</v>
      </c>
      <c r="E10" s="2010">
        <v>0</v>
      </c>
      <c r="F10" s="2011"/>
      <c r="G10" s="2012"/>
      <c r="H10" s="2013"/>
      <c r="I10" s="2014"/>
      <c r="J10" s="2015"/>
      <c r="K10" s="2012"/>
    </row>
    <row r="11" spans="1:11" ht="15" hidden="1">
      <c r="A11" s="2006">
        <v>10</v>
      </c>
      <c r="B11" s="2007" t="s">
        <v>35</v>
      </c>
      <c r="C11" s="2008"/>
      <c r="D11" s="2009" t="s">
        <v>821</v>
      </c>
      <c r="E11" s="2010">
        <v>0</v>
      </c>
      <c r="F11" s="2011"/>
      <c r="G11" s="2012"/>
      <c r="H11" s="2013"/>
      <c r="I11" s="2014"/>
      <c r="J11" s="2015"/>
      <c r="K11" s="2012"/>
    </row>
    <row r="12" spans="1:11" ht="15" hidden="1">
      <c r="A12" s="2006">
        <v>11</v>
      </c>
      <c r="B12" s="2007" t="s">
        <v>35</v>
      </c>
      <c r="C12" s="2008"/>
      <c r="D12" s="2009" t="s">
        <v>821</v>
      </c>
      <c r="E12" s="2010">
        <v>0</v>
      </c>
      <c r="F12" s="2011"/>
      <c r="G12" s="2012"/>
      <c r="H12" s="2013"/>
      <c r="I12" s="2014"/>
      <c r="J12" s="2015"/>
      <c r="K12" s="2012"/>
    </row>
    <row r="13" spans="1:11" ht="15.75" hidden="1" thickBot="1">
      <c r="A13" s="2016">
        <v>12</v>
      </c>
      <c r="B13" s="2017" t="s">
        <v>35</v>
      </c>
      <c r="C13" s="2018"/>
      <c r="D13" s="2019" t="s">
        <v>821</v>
      </c>
      <c r="E13" s="2020">
        <v>0</v>
      </c>
      <c r="F13" s="2021"/>
      <c r="G13" s="2022"/>
      <c r="H13" s="2023"/>
      <c r="I13" s="2024"/>
      <c r="J13" s="2025"/>
      <c r="K13" s="2022"/>
    </row>
    <row r="14" spans="1:11" ht="15">
      <c r="A14" s="2026">
        <v>13</v>
      </c>
      <c r="B14" s="2027" t="s">
        <v>35</v>
      </c>
      <c r="C14" s="2028"/>
      <c r="D14" s="2029" t="s">
        <v>822</v>
      </c>
      <c r="E14" s="2030">
        <v>0</v>
      </c>
      <c r="F14" s="2031"/>
      <c r="G14" s="2032"/>
      <c r="H14" s="2033"/>
      <c r="I14" s="2034"/>
      <c r="J14" s="2035"/>
      <c r="K14" s="2032"/>
    </row>
    <row r="15" spans="1:11" ht="15">
      <c r="A15" s="2006">
        <v>14</v>
      </c>
      <c r="B15" s="2007" t="s">
        <v>35</v>
      </c>
      <c r="C15" s="2008"/>
      <c r="D15" s="2009" t="s">
        <v>822</v>
      </c>
      <c r="E15" s="2010">
        <v>0</v>
      </c>
      <c r="F15" s="2011"/>
      <c r="G15" s="2012"/>
      <c r="H15" s="2013"/>
      <c r="I15" s="2014"/>
      <c r="J15" s="2015"/>
      <c r="K15" s="2012"/>
    </row>
    <row r="16" spans="1:11" ht="15.75" thickBot="1">
      <c r="A16" s="2006">
        <v>15</v>
      </c>
      <c r="B16" s="2007" t="s">
        <v>35</v>
      </c>
      <c r="C16" s="2008"/>
      <c r="D16" s="2009" t="s">
        <v>822</v>
      </c>
      <c r="E16" s="2030">
        <v>0</v>
      </c>
      <c r="F16" s="2011"/>
      <c r="G16" s="2012"/>
      <c r="H16" s="2013"/>
      <c r="I16" s="2014"/>
      <c r="J16" s="2015"/>
      <c r="K16" s="2012"/>
    </row>
    <row r="17" spans="1:11" ht="15" hidden="1">
      <c r="A17" s="2006">
        <v>16</v>
      </c>
      <c r="B17" s="2007" t="s">
        <v>35</v>
      </c>
      <c r="C17" s="2008"/>
      <c r="D17" s="2009" t="s">
        <v>822</v>
      </c>
      <c r="E17" s="2010">
        <v>0</v>
      </c>
      <c r="F17" s="2011"/>
      <c r="G17" s="2012"/>
      <c r="H17" s="2013"/>
      <c r="I17" s="2014"/>
      <c r="J17" s="2015"/>
      <c r="K17" s="2012"/>
    </row>
    <row r="18" spans="1:11" ht="15" hidden="1">
      <c r="A18" s="2006">
        <v>17</v>
      </c>
      <c r="B18" s="2007" t="s">
        <v>35</v>
      </c>
      <c r="C18" s="2008"/>
      <c r="D18" s="2009" t="s">
        <v>822</v>
      </c>
      <c r="E18" s="2030">
        <v>0</v>
      </c>
      <c r="F18" s="2011"/>
      <c r="G18" s="2012"/>
      <c r="H18" s="2013"/>
      <c r="I18" s="2014"/>
      <c r="J18" s="2015"/>
      <c r="K18" s="2012"/>
    </row>
    <row r="19" spans="1:11" ht="15" hidden="1">
      <c r="A19" s="2006">
        <v>18</v>
      </c>
      <c r="B19" s="2007" t="s">
        <v>35</v>
      </c>
      <c r="C19" s="2008"/>
      <c r="D19" s="2009" t="s">
        <v>822</v>
      </c>
      <c r="E19" s="2010">
        <v>0</v>
      </c>
      <c r="F19" s="2011"/>
      <c r="G19" s="2012"/>
      <c r="H19" s="2013"/>
      <c r="I19" s="2014"/>
      <c r="J19" s="2015"/>
      <c r="K19" s="2012"/>
    </row>
    <row r="20" spans="1:11" ht="15" hidden="1">
      <c r="A20" s="2006">
        <v>19</v>
      </c>
      <c r="B20" s="2007" t="s">
        <v>35</v>
      </c>
      <c r="C20" s="2008"/>
      <c r="D20" s="2009" t="s">
        <v>822</v>
      </c>
      <c r="E20" s="2030">
        <v>0</v>
      </c>
      <c r="F20" s="2011"/>
      <c r="G20" s="2012"/>
      <c r="H20" s="2013"/>
      <c r="I20" s="2014"/>
      <c r="J20" s="2015"/>
      <c r="K20" s="2012"/>
    </row>
    <row r="21" spans="1:11" ht="15" hidden="1">
      <c r="A21" s="2006">
        <v>24</v>
      </c>
      <c r="B21" s="2007" t="s">
        <v>35</v>
      </c>
      <c r="C21" s="2008"/>
      <c r="D21" s="2009" t="s">
        <v>822</v>
      </c>
      <c r="E21" s="2010">
        <v>0</v>
      </c>
      <c r="F21" s="2011"/>
      <c r="G21" s="2012"/>
      <c r="H21" s="2013"/>
      <c r="I21" s="2014"/>
      <c r="J21" s="2015"/>
      <c r="K21" s="2012"/>
    </row>
    <row r="22" spans="1:11" ht="15" hidden="1">
      <c r="A22" s="2006">
        <v>25</v>
      </c>
      <c r="B22" s="2007" t="s">
        <v>35</v>
      </c>
      <c r="C22" s="2008"/>
      <c r="D22" s="2009" t="s">
        <v>822</v>
      </c>
      <c r="E22" s="2030">
        <v>0</v>
      </c>
      <c r="F22" s="2011"/>
      <c r="G22" s="2012"/>
      <c r="H22" s="2013"/>
      <c r="I22" s="2014"/>
      <c r="J22" s="2015"/>
      <c r="K22" s="2012"/>
    </row>
    <row r="23" spans="1:11" ht="15" hidden="1">
      <c r="A23" s="2006">
        <v>26</v>
      </c>
      <c r="B23" s="2007" t="s">
        <v>35</v>
      </c>
      <c r="C23" s="2008"/>
      <c r="D23" s="2009" t="s">
        <v>822</v>
      </c>
      <c r="E23" s="2010">
        <v>0</v>
      </c>
      <c r="F23" s="2011"/>
      <c r="G23" s="2012"/>
      <c r="H23" s="2013"/>
      <c r="I23" s="2014"/>
      <c r="J23" s="2015"/>
      <c r="K23" s="2012"/>
    </row>
    <row r="24" spans="1:11" ht="15" hidden="1">
      <c r="A24" s="2006">
        <v>27</v>
      </c>
      <c r="B24" s="2007" t="s">
        <v>35</v>
      </c>
      <c r="C24" s="2008"/>
      <c r="D24" s="2009" t="s">
        <v>822</v>
      </c>
      <c r="E24" s="2030">
        <v>0</v>
      </c>
      <c r="F24" s="2011"/>
      <c r="G24" s="2012"/>
      <c r="H24" s="2013"/>
      <c r="I24" s="2014"/>
      <c r="J24" s="2015"/>
      <c r="K24" s="2012"/>
    </row>
    <row r="25" spans="1:11" ht="15" hidden="1">
      <c r="A25" s="2006">
        <v>28</v>
      </c>
      <c r="B25" s="2007" t="s">
        <v>35</v>
      </c>
      <c r="C25" s="2008"/>
      <c r="D25" s="2009" t="s">
        <v>822</v>
      </c>
      <c r="E25" s="2010">
        <v>0</v>
      </c>
      <c r="F25" s="2011"/>
      <c r="G25" s="2012"/>
      <c r="H25" s="2013"/>
      <c r="I25" s="2014"/>
      <c r="J25" s="2015"/>
      <c r="K25" s="2012"/>
    </row>
    <row r="26" spans="1:11" ht="15" hidden="1">
      <c r="A26" s="2006">
        <v>29</v>
      </c>
      <c r="B26" s="2007" t="s">
        <v>35</v>
      </c>
      <c r="C26" s="2008"/>
      <c r="D26" s="2009" t="s">
        <v>822</v>
      </c>
      <c r="E26" s="2030">
        <v>0</v>
      </c>
      <c r="F26" s="2011"/>
      <c r="G26" s="2012"/>
      <c r="H26" s="2013"/>
      <c r="I26" s="2014"/>
      <c r="J26" s="2015"/>
      <c r="K26" s="2012"/>
    </row>
    <row r="27" spans="1:11" ht="15" hidden="1">
      <c r="A27" s="2006">
        <v>30</v>
      </c>
      <c r="B27" s="2007" t="s">
        <v>35</v>
      </c>
      <c r="C27" s="2008"/>
      <c r="D27" s="2009" t="s">
        <v>822</v>
      </c>
      <c r="E27" s="2010">
        <v>0</v>
      </c>
      <c r="F27" s="2011"/>
      <c r="G27" s="2012"/>
      <c r="H27" s="2013"/>
      <c r="I27" s="2014"/>
      <c r="J27" s="2015"/>
      <c r="K27" s="2012"/>
    </row>
    <row r="28" spans="1:11" ht="15" hidden="1">
      <c r="A28" s="2006">
        <v>31</v>
      </c>
      <c r="B28" s="2007" t="s">
        <v>35</v>
      </c>
      <c r="C28" s="2008"/>
      <c r="D28" s="2009" t="s">
        <v>822</v>
      </c>
      <c r="E28" s="2030">
        <v>0</v>
      </c>
      <c r="F28" s="2011"/>
      <c r="G28" s="2012"/>
      <c r="H28" s="2013"/>
      <c r="I28" s="2014"/>
      <c r="J28" s="2015"/>
      <c r="K28" s="2012"/>
    </row>
    <row r="29" spans="1:11" ht="15" hidden="1">
      <c r="A29" s="2006">
        <v>32</v>
      </c>
      <c r="B29" s="2007" t="s">
        <v>35</v>
      </c>
      <c r="C29" s="2008"/>
      <c r="D29" s="2009" t="s">
        <v>822</v>
      </c>
      <c r="E29" s="2010">
        <v>0</v>
      </c>
      <c r="F29" s="2011"/>
      <c r="G29" s="2012"/>
      <c r="H29" s="2013"/>
      <c r="I29" s="2014"/>
      <c r="J29" s="2015"/>
      <c r="K29" s="2012"/>
    </row>
    <row r="30" spans="1:11" ht="15" hidden="1">
      <c r="A30" s="2006">
        <v>33</v>
      </c>
      <c r="B30" s="2007" t="s">
        <v>35</v>
      </c>
      <c r="C30" s="2008"/>
      <c r="D30" s="2009" t="s">
        <v>822</v>
      </c>
      <c r="E30" s="2030">
        <v>0</v>
      </c>
      <c r="F30" s="2011"/>
      <c r="G30" s="2012"/>
      <c r="H30" s="2013"/>
      <c r="I30" s="2014"/>
      <c r="J30" s="2015"/>
      <c r="K30" s="2012"/>
    </row>
    <row r="31" spans="1:11" ht="15" hidden="1">
      <c r="A31" s="2006">
        <v>34</v>
      </c>
      <c r="B31" s="2007" t="s">
        <v>35</v>
      </c>
      <c r="C31" s="2008"/>
      <c r="D31" s="2009" t="s">
        <v>822</v>
      </c>
      <c r="E31" s="2010">
        <v>0</v>
      </c>
      <c r="F31" s="2011"/>
      <c r="G31" s="2012"/>
      <c r="H31" s="2013"/>
      <c r="I31" s="2014"/>
      <c r="J31" s="2015"/>
      <c r="K31" s="2012"/>
    </row>
    <row r="32" spans="1:11" ht="15" hidden="1">
      <c r="A32" s="2006">
        <v>35</v>
      </c>
      <c r="B32" s="2007" t="s">
        <v>35</v>
      </c>
      <c r="C32" s="2008"/>
      <c r="D32" s="2009" t="s">
        <v>822</v>
      </c>
      <c r="E32" s="2030">
        <v>0</v>
      </c>
      <c r="F32" s="2011"/>
      <c r="G32" s="2012"/>
      <c r="H32" s="2013"/>
      <c r="I32" s="2014"/>
      <c r="J32" s="2015"/>
      <c r="K32" s="2012"/>
    </row>
    <row r="33" spans="1:11" ht="15" hidden="1">
      <c r="A33" s="2006">
        <v>36</v>
      </c>
      <c r="B33" s="2007" t="s">
        <v>35</v>
      </c>
      <c r="C33" s="2008"/>
      <c r="D33" s="2009" t="s">
        <v>822</v>
      </c>
      <c r="E33" s="2010">
        <v>0</v>
      </c>
      <c r="F33" s="2011"/>
      <c r="G33" s="2012"/>
      <c r="H33" s="2013"/>
      <c r="I33" s="2014"/>
      <c r="J33" s="2015"/>
      <c r="K33" s="2012"/>
    </row>
    <row r="34" spans="1:11" ht="15" hidden="1">
      <c r="A34" s="2006">
        <v>37</v>
      </c>
      <c r="B34" s="2007" t="s">
        <v>35</v>
      </c>
      <c r="C34" s="2008"/>
      <c r="D34" s="2009" t="s">
        <v>822</v>
      </c>
      <c r="E34" s="2030">
        <v>0</v>
      </c>
      <c r="F34" s="2011"/>
      <c r="G34" s="2012"/>
      <c r="H34" s="2013"/>
      <c r="I34" s="2014"/>
      <c r="J34" s="2015"/>
      <c r="K34" s="2012"/>
    </row>
    <row r="35" spans="1:11" ht="15" hidden="1">
      <c r="A35" s="2006">
        <v>38</v>
      </c>
      <c r="B35" s="2007" t="s">
        <v>35</v>
      </c>
      <c r="C35" s="2008"/>
      <c r="D35" s="2009" t="s">
        <v>822</v>
      </c>
      <c r="E35" s="2010">
        <v>0</v>
      </c>
      <c r="F35" s="2011"/>
      <c r="G35" s="2012"/>
      <c r="H35" s="2013"/>
      <c r="I35" s="2014"/>
      <c r="J35" s="2015"/>
      <c r="K35" s="2012"/>
    </row>
    <row r="36" spans="1:11" ht="15" hidden="1">
      <c r="A36" s="2006">
        <v>39</v>
      </c>
      <c r="B36" s="2007" t="s">
        <v>35</v>
      </c>
      <c r="C36" s="2008"/>
      <c r="D36" s="2009" t="s">
        <v>822</v>
      </c>
      <c r="E36" s="2030">
        <v>0</v>
      </c>
      <c r="F36" s="2011"/>
      <c r="G36" s="2012"/>
      <c r="H36" s="2013"/>
      <c r="I36" s="2014"/>
      <c r="J36" s="2015"/>
      <c r="K36" s="2012"/>
    </row>
    <row r="37" spans="1:11" ht="15" hidden="1">
      <c r="A37" s="2006">
        <v>40</v>
      </c>
      <c r="B37" s="2007" t="s">
        <v>35</v>
      </c>
      <c r="C37" s="2008"/>
      <c r="D37" s="2009" t="s">
        <v>822</v>
      </c>
      <c r="E37" s="2010">
        <v>0</v>
      </c>
      <c r="F37" s="2011"/>
      <c r="G37" s="2012"/>
      <c r="H37" s="2013"/>
      <c r="I37" s="2014"/>
      <c r="J37" s="2015"/>
      <c r="K37" s="2012"/>
    </row>
    <row r="38" spans="1:11" ht="15" hidden="1">
      <c r="A38" s="2006">
        <v>41</v>
      </c>
      <c r="B38" s="2007" t="s">
        <v>35</v>
      </c>
      <c r="C38" s="2008"/>
      <c r="D38" s="2009" t="s">
        <v>822</v>
      </c>
      <c r="E38" s="2030">
        <v>0</v>
      </c>
      <c r="F38" s="2011"/>
      <c r="G38" s="2012"/>
      <c r="H38" s="2013"/>
      <c r="I38" s="2014"/>
      <c r="J38" s="2015"/>
      <c r="K38" s="2012"/>
    </row>
    <row r="39" spans="1:11" ht="15" hidden="1">
      <c r="A39" s="2006">
        <v>42</v>
      </c>
      <c r="B39" s="2007" t="s">
        <v>35</v>
      </c>
      <c r="C39" s="2008"/>
      <c r="D39" s="2009" t="s">
        <v>822</v>
      </c>
      <c r="E39" s="2010">
        <v>0</v>
      </c>
      <c r="F39" s="2011"/>
      <c r="G39" s="2012"/>
      <c r="H39" s="2013"/>
      <c r="I39" s="2014"/>
      <c r="J39" s="2015"/>
      <c r="K39" s="2012"/>
    </row>
    <row r="40" spans="1:11" ht="15" hidden="1">
      <c r="A40" s="2006">
        <v>43</v>
      </c>
      <c r="B40" s="2007" t="s">
        <v>35</v>
      </c>
      <c r="C40" s="2008"/>
      <c r="D40" s="2009" t="s">
        <v>822</v>
      </c>
      <c r="E40" s="2030">
        <v>0</v>
      </c>
      <c r="F40" s="2011"/>
      <c r="G40" s="2012"/>
      <c r="H40" s="2013"/>
      <c r="I40" s="2014"/>
      <c r="J40" s="2015"/>
      <c r="K40" s="2012"/>
    </row>
    <row r="41" spans="1:11" ht="15" hidden="1">
      <c r="A41" s="2006">
        <v>44</v>
      </c>
      <c r="B41" s="2007" t="s">
        <v>35</v>
      </c>
      <c r="C41" s="2008"/>
      <c r="D41" s="2009" t="s">
        <v>822</v>
      </c>
      <c r="E41" s="2010">
        <v>0</v>
      </c>
      <c r="F41" s="2011"/>
      <c r="G41" s="2012"/>
      <c r="H41" s="2013"/>
      <c r="I41" s="2014"/>
      <c r="J41" s="2015"/>
      <c r="K41" s="2012"/>
    </row>
    <row r="42" spans="1:11" ht="15" hidden="1">
      <c r="A42" s="2006">
        <v>45</v>
      </c>
      <c r="B42" s="2007" t="s">
        <v>35</v>
      </c>
      <c r="C42" s="2008"/>
      <c r="D42" s="2009" t="s">
        <v>822</v>
      </c>
      <c r="E42" s="2030">
        <v>0</v>
      </c>
      <c r="F42" s="2011"/>
      <c r="G42" s="2012"/>
      <c r="H42" s="2013"/>
      <c r="I42" s="2014"/>
      <c r="J42" s="2015"/>
      <c r="K42" s="2012"/>
    </row>
    <row r="43" spans="1:11" ht="15" hidden="1">
      <c r="A43" s="2006">
        <v>46</v>
      </c>
      <c r="B43" s="2007" t="s">
        <v>35</v>
      </c>
      <c r="C43" s="2008"/>
      <c r="D43" s="2009" t="s">
        <v>822</v>
      </c>
      <c r="E43" s="2010">
        <v>0</v>
      </c>
      <c r="F43" s="2011"/>
      <c r="G43" s="2012"/>
      <c r="H43" s="2013"/>
      <c r="I43" s="2014"/>
      <c r="J43" s="2015"/>
      <c r="K43" s="2012"/>
    </row>
    <row r="44" spans="1:11" ht="15" hidden="1">
      <c r="A44" s="2006">
        <v>47</v>
      </c>
      <c r="B44" s="2007" t="s">
        <v>35</v>
      </c>
      <c r="C44" s="2008"/>
      <c r="D44" s="2009" t="s">
        <v>822</v>
      </c>
      <c r="E44" s="2030">
        <v>0</v>
      </c>
      <c r="F44" s="2011"/>
      <c r="G44" s="2012"/>
      <c r="H44" s="2013"/>
      <c r="I44" s="2014"/>
      <c r="J44" s="2015"/>
      <c r="K44" s="2012"/>
    </row>
    <row r="45" spans="1:11" ht="15" hidden="1">
      <c r="A45" s="2006">
        <v>48</v>
      </c>
      <c r="B45" s="2007" t="s">
        <v>35</v>
      </c>
      <c r="C45" s="2008"/>
      <c r="D45" s="2009" t="s">
        <v>822</v>
      </c>
      <c r="E45" s="2010">
        <v>0</v>
      </c>
      <c r="F45" s="2011"/>
      <c r="G45" s="2012"/>
      <c r="H45" s="2013"/>
      <c r="I45" s="2014"/>
      <c r="J45" s="2015"/>
      <c r="K45" s="2012"/>
    </row>
    <row r="46" spans="1:11" ht="15" hidden="1">
      <c r="A46" s="2006">
        <v>49</v>
      </c>
      <c r="B46" s="2007" t="s">
        <v>35</v>
      </c>
      <c r="C46" s="2008"/>
      <c r="D46" s="2009" t="s">
        <v>822</v>
      </c>
      <c r="E46" s="2030">
        <v>0</v>
      </c>
      <c r="F46" s="2011"/>
      <c r="G46" s="2012"/>
      <c r="H46" s="2013"/>
      <c r="I46" s="2014"/>
      <c r="J46" s="2015"/>
      <c r="K46" s="2012"/>
    </row>
    <row r="47" spans="1:11" ht="15.75" hidden="1" thickBot="1">
      <c r="A47" s="2016">
        <v>50</v>
      </c>
      <c r="B47" s="2017" t="s">
        <v>35</v>
      </c>
      <c r="C47" s="2018"/>
      <c r="D47" s="2019" t="s">
        <v>822</v>
      </c>
      <c r="E47" s="2020">
        <v>0</v>
      </c>
      <c r="F47" s="2021"/>
      <c r="G47" s="2022"/>
      <c r="H47" s="2023"/>
      <c r="I47" s="2024"/>
      <c r="J47" s="2025"/>
      <c r="K47" s="2022"/>
    </row>
    <row r="48" spans="1:11" ht="15" hidden="1">
      <c r="A48" s="2026">
        <v>51</v>
      </c>
      <c r="B48" s="2027" t="s">
        <v>35</v>
      </c>
      <c r="C48" s="2028"/>
      <c r="D48" s="2029" t="s">
        <v>1336</v>
      </c>
      <c r="E48" s="2030">
        <v>0</v>
      </c>
      <c r="F48" s="2031"/>
      <c r="G48" s="2032"/>
      <c r="H48" s="2033"/>
      <c r="I48" s="2034"/>
      <c r="J48" s="2035"/>
      <c r="K48" s="2032"/>
    </row>
    <row r="49" spans="1:11" ht="15" hidden="1">
      <c r="A49" s="2006">
        <v>52</v>
      </c>
      <c r="B49" s="2007" t="s">
        <v>35</v>
      </c>
      <c r="C49" s="2008"/>
      <c r="D49" s="2029" t="s">
        <v>1336</v>
      </c>
      <c r="E49" s="2030">
        <v>0</v>
      </c>
      <c r="F49" s="2011"/>
      <c r="G49" s="2012"/>
      <c r="H49" s="2013"/>
      <c r="I49" s="2014"/>
      <c r="J49" s="2015"/>
      <c r="K49" s="2012"/>
    </row>
    <row r="50" spans="1:11" ht="15" hidden="1">
      <c r="A50" s="2006">
        <v>53</v>
      </c>
      <c r="B50" s="2007" t="s">
        <v>35</v>
      </c>
      <c r="C50" s="2008"/>
      <c r="D50" s="2029" t="s">
        <v>1336</v>
      </c>
      <c r="E50" s="2030">
        <f>E49</f>
        <v>0</v>
      </c>
      <c r="F50" s="2011"/>
      <c r="G50" s="2012"/>
      <c r="H50" s="2013"/>
      <c r="I50" s="2014"/>
      <c r="J50" s="2015"/>
      <c r="K50" s="2012"/>
    </row>
    <row r="51" spans="1:11" ht="15" hidden="1">
      <c r="A51" s="2006">
        <v>54</v>
      </c>
      <c r="B51" s="2007" t="s">
        <v>35</v>
      </c>
      <c r="C51" s="2008"/>
      <c r="D51" s="2029" t="s">
        <v>1336</v>
      </c>
      <c r="E51" s="2030">
        <v>0</v>
      </c>
      <c r="F51" s="2011"/>
      <c r="G51" s="2012"/>
      <c r="H51" s="2013"/>
      <c r="I51" s="2014"/>
      <c r="J51" s="2015"/>
      <c r="K51" s="2012"/>
    </row>
    <row r="52" spans="1:11" ht="15" hidden="1">
      <c r="A52" s="2006">
        <v>55</v>
      </c>
      <c r="B52" s="2007" t="s">
        <v>35</v>
      </c>
      <c r="C52" s="2008"/>
      <c r="D52" s="2029" t="s">
        <v>1336</v>
      </c>
      <c r="E52" s="2030">
        <v>0</v>
      </c>
      <c r="F52" s="2011"/>
      <c r="G52" s="2012"/>
      <c r="H52" s="2013"/>
      <c r="I52" s="2014"/>
      <c r="J52" s="2015"/>
      <c r="K52" s="2012"/>
    </row>
    <row r="53" spans="1:11" ht="15" hidden="1">
      <c r="A53" s="2006">
        <v>56</v>
      </c>
      <c r="B53" s="2007" t="s">
        <v>35</v>
      </c>
      <c r="C53" s="2008"/>
      <c r="D53" s="2029" t="s">
        <v>1336</v>
      </c>
      <c r="E53" s="2030">
        <f>E52</f>
        <v>0</v>
      </c>
      <c r="F53" s="2011"/>
      <c r="G53" s="2012"/>
      <c r="H53" s="2013"/>
      <c r="I53" s="2014"/>
      <c r="J53" s="2015"/>
      <c r="K53" s="2012"/>
    </row>
    <row r="54" spans="1:11" ht="15" hidden="1">
      <c r="A54" s="2006">
        <v>57</v>
      </c>
      <c r="B54" s="2007" t="s">
        <v>35</v>
      </c>
      <c r="C54" s="2008"/>
      <c r="D54" s="2029" t="s">
        <v>1336</v>
      </c>
      <c r="E54" s="2030">
        <v>0</v>
      </c>
      <c r="F54" s="2011"/>
      <c r="G54" s="2012"/>
      <c r="H54" s="2013"/>
      <c r="I54" s="2014"/>
      <c r="J54" s="2015"/>
      <c r="K54" s="2012"/>
    </row>
    <row r="55" spans="1:11" ht="15" hidden="1">
      <c r="A55" s="2006">
        <v>58</v>
      </c>
      <c r="B55" s="2007" t="s">
        <v>35</v>
      </c>
      <c r="C55" s="2008"/>
      <c r="D55" s="2029" t="s">
        <v>1336</v>
      </c>
      <c r="E55" s="2030">
        <v>0</v>
      </c>
      <c r="F55" s="2011"/>
      <c r="G55" s="2012"/>
      <c r="H55" s="2013"/>
      <c r="I55" s="2014"/>
      <c r="J55" s="2015"/>
      <c r="K55" s="2012"/>
    </row>
    <row r="56" spans="1:11" ht="15" hidden="1">
      <c r="A56" s="2006">
        <v>59</v>
      </c>
      <c r="B56" s="2007" t="s">
        <v>35</v>
      </c>
      <c r="C56" s="2008"/>
      <c r="D56" s="2029" t="s">
        <v>1336</v>
      </c>
      <c r="E56" s="2030">
        <f>E55</f>
        <v>0</v>
      </c>
      <c r="F56" s="2011"/>
      <c r="G56" s="2012"/>
      <c r="H56" s="2013"/>
      <c r="I56" s="2014"/>
      <c r="J56" s="2015"/>
      <c r="K56" s="2012"/>
    </row>
    <row r="57" spans="1:11" ht="15" hidden="1">
      <c r="A57" s="2006">
        <v>60</v>
      </c>
      <c r="B57" s="2007" t="s">
        <v>35</v>
      </c>
      <c r="C57" s="2008"/>
      <c r="D57" s="2029" t="s">
        <v>1336</v>
      </c>
      <c r="E57" s="2030">
        <v>0</v>
      </c>
      <c r="F57" s="2011"/>
      <c r="G57" s="2012"/>
      <c r="H57" s="2013"/>
      <c r="I57" s="2014"/>
      <c r="J57" s="2015"/>
      <c r="K57" s="2012"/>
    </row>
    <row r="58" spans="1:11" ht="15" hidden="1">
      <c r="A58" s="2006">
        <v>61</v>
      </c>
      <c r="B58" s="2007" t="s">
        <v>35</v>
      </c>
      <c r="C58" s="2008"/>
      <c r="D58" s="2029" t="s">
        <v>1336</v>
      </c>
      <c r="E58" s="2030">
        <v>0</v>
      </c>
      <c r="F58" s="2011"/>
      <c r="G58" s="2012"/>
      <c r="H58" s="2013"/>
      <c r="I58" s="2014"/>
      <c r="J58" s="2015"/>
      <c r="K58" s="2012"/>
    </row>
    <row r="59" spans="1:11" ht="15" hidden="1">
      <c r="A59" s="2006">
        <v>62</v>
      </c>
      <c r="B59" s="2007" t="s">
        <v>35</v>
      </c>
      <c r="C59" s="2008"/>
      <c r="D59" s="2029" t="s">
        <v>1336</v>
      </c>
      <c r="E59" s="2030">
        <f>E58</f>
        <v>0</v>
      </c>
      <c r="F59" s="2011"/>
      <c r="G59" s="2012"/>
      <c r="H59" s="2013"/>
      <c r="I59" s="2014"/>
      <c r="J59" s="2015"/>
      <c r="K59" s="2012"/>
    </row>
    <row r="60" spans="1:11" ht="15" hidden="1">
      <c r="A60" s="2006">
        <v>63</v>
      </c>
      <c r="B60" s="2007" t="s">
        <v>35</v>
      </c>
      <c r="C60" s="2008"/>
      <c r="D60" s="2029" t="s">
        <v>1336</v>
      </c>
      <c r="E60" s="2030">
        <v>0</v>
      </c>
      <c r="F60" s="2011"/>
      <c r="G60" s="2012"/>
      <c r="H60" s="2013"/>
      <c r="I60" s="2014"/>
      <c r="J60" s="2015"/>
      <c r="K60" s="2012"/>
    </row>
    <row r="61" spans="1:11" ht="15" hidden="1">
      <c r="A61" s="2006">
        <v>64</v>
      </c>
      <c r="B61" s="2007" t="s">
        <v>35</v>
      </c>
      <c r="C61" s="2008"/>
      <c r="D61" s="2029" t="s">
        <v>1336</v>
      </c>
      <c r="E61" s="2030">
        <v>0</v>
      </c>
      <c r="F61" s="2011"/>
      <c r="G61" s="2012"/>
      <c r="H61" s="2013"/>
      <c r="I61" s="2014"/>
      <c r="J61" s="2015"/>
      <c r="K61" s="2012"/>
    </row>
    <row r="62" spans="1:11" ht="15" hidden="1">
      <c r="A62" s="2006">
        <v>65</v>
      </c>
      <c r="B62" s="2007" t="s">
        <v>35</v>
      </c>
      <c r="C62" s="2008"/>
      <c r="D62" s="2029" t="s">
        <v>1336</v>
      </c>
      <c r="E62" s="2030">
        <f>E61</f>
        <v>0</v>
      </c>
      <c r="F62" s="2011"/>
      <c r="G62" s="2012"/>
      <c r="H62" s="2013"/>
      <c r="I62" s="2014"/>
      <c r="J62" s="2015"/>
      <c r="K62" s="2012"/>
    </row>
    <row r="63" spans="1:11" ht="15" hidden="1">
      <c r="A63" s="2006">
        <v>66</v>
      </c>
      <c r="B63" s="2007" t="s">
        <v>35</v>
      </c>
      <c r="C63" s="2008"/>
      <c r="D63" s="2029" t="s">
        <v>1336</v>
      </c>
      <c r="E63" s="2030">
        <v>0</v>
      </c>
      <c r="F63" s="2011"/>
      <c r="G63" s="2012"/>
      <c r="H63" s="2013"/>
      <c r="I63" s="2014"/>
      <c r="J63" s="2015"/>
      <c r="K63" s="2012"/>
    </row>
    <row r="64" spans="1:11" ht="15" hidden="1">
      <c r="A64" s="2006">
        <v>67</v>
      </c>
      <c r="B64" s="2007" t="s">
        <v>35</v>
      </c>
      <c r="C64" s="2008"/>
      <c r="D64" s="2029" t="s">
        <v>1336</v>
      </c>
      <c r="E64" s="2030">
        <v>0</v>
      </c>
      <c r="F64" s="2011"/>
      <c r="G64" s="2012"/>
      <c r="H64" s="2013"/>
      <c r="I64" s="2014"/>
      <c r="J64" s="2015"/>
      <c r="K64" s="2012"/>
    </row>
    <row r="65" spans="1:11" ht="15" hidden="1">
      <c r="A65" s="2006">
        <v>68</v>
      </c>
      <c r="B65" s="2007" t="s">
        <v>35</v>
      </c>
      <c r="C65" s="2008"/>
      <c r="D65" s="2029" t="s">
        <v>1336</v>
      </c>
      <c r="E65" s="2030">
        <f>E64</f>
        <v>0</v>
      </c>
      <c r="F65" s="2011"/>
      <c r="G65" s="2012"/>
      <c r="H65" s="2013"/>
      <c r="I65" s="2014"/>
      <c r="J65" s="2015"/>
      <c r="K65" s="2012"/>
    </row>
    <row r="66" spans="1:11" ht="15" hidden="1">
      <c r="A66" s="2006">
        <v>69</v>
      </c>
      <c r="B66" s="2007" t="s">
        <v>35</v>
      </c>
      <c r="C66" s="2008"/>
      <c r="D66" s="2029" t="s">
        <v>1336</v>
      </c>
      <c r="E66" s="2030">
        <v>0</v>
      </c>
      <c r="F66" s="2011"/>
      <c r="G66" s="2012"/>
      <c r="H66" s="2013"/>
      <c r="I66" s="2014"/>
      <c r="J66" s="2015"/>
      <c r="K66" s="2012"/>
    </row>
    <row r="67" spans="1:11" ht="15" hidden="1">
      <c r="A67" s="2006">
        <v>70</v>
      </c>
      <c r="B67" s="2007" t="s">
        <v>35</v>
      </c>
      <c r="C67" s="2008"/>
      <c r="D67" s="2029" t="s">
        <v>1336</v>
      </c>
      <c r="E67" s="2030">
        <v>0</v>
      </c>
      <c r="F67" s="2011"/>
      <c r="G67" s="2012"/>
      <c r="H67" s="2013"/>
      <c r="I67" s="2014"/>
      <c r="J67" s="2015"/>
      <c r="K67" s="2012"/>
    </row>
    <row r="68" spans="1:11" ht="15" hidden="1">
      <c r="A68" s="2006">
        <v>71</v>
      </c>
      <c r="B68" s="2007" t="s">
        <v>35</v>
      </c>
      <c r="C68" s="2008"/>
      <c r="D68" s="2029" t="s">
        <v>1336</v>
      </c>
      <c r="E68" s="2030">
        <f>E67</f>
        <v>0</v>
      </c>
      <c r="F68" s="2011"/>
      <c r="G68" s="2012"/>
      <c r="H68" s="2013"/>
      <c r="I68" s="2014"/>
      <c r="J68" s="2015"/>
      <c r="K68" s="2012"/>
    </row>
    <row r="69" spans="1:11" ht="15" hidden="1">
      <c r="A69" s="2006">
        <v>72</v>
      </c>
      <c r="B69" s="2007" t="s">
        <v>35</v>
      </c>
      <c r="C69" s="2008"/>
      <c r="D69" s="2029" t="s">
        <v>1336</v>
      </c>
      <c r="E69" s="2030">
        <v>0</v>
      </c>
      <c r="F69" s="2011"/>
      <c r="G69" s="2012"/>
      <c r="H69" s="2013"/>
      <c r="I69" s="2014"/>
      <c r="J69" s="2015"/>
      <c r="K69" s="2012"/>
    </row>
    <row r="70" spans="1:11" ht="15" hidden="1">
      <c r="A70" s="2006">
        <v>73</v>
      </c>
      <c r="B70" s="2007" t="s">
        <v>35</v>
      </c>
      <c r="C70" s="2008"/>
      <c r="D70" s="2029" t="s">
        <v>1336</v>
      </c>
      <c r="E70" s="2030">
        <v>0</v>
      </c>
      <c r="F70" s="2011"/>
      <c r="G70" s="2012"/>
      <c r="H70" s="2013"/>
      <c r="I70" s="2014"/>
      <c r="J70" s="2015"/>
      <c r="K70" s="2012"/>
    </row>
    <row r="71" spans="1:11" ht="15" hidden="1">
      <c r="A71" s="2006">
        <v>74</v>
      </c>
      <c r="B71" s="2007" t="s">
        <v>35</v>
      </c>
      <c r="C71" s="2008"/>
      <c r="D71" s="2029" t="s">
        <v>1336</v>
      </c>
      <c r="E71" s="2030">
        <f>E70</f>
        <v>0</v>
      </c>
      <c r="F71" s="2011"/>
      <c r="G71" s="2012"/>
      <c r="H71" s="2013"/>
      <c r="I71" s="2014"/>
      <c r="J71" s="2015"/>
      <c r="K71" s="2012"/>
    </row>
    <row r="72" spans="1:11" ht="15" hidden="1">
      <c r="A72" s="2006">
        <v>75</v>
      </c>
      <c r="B72" s="2007" t="s">
        <v>35</v>
      </c>
      <c r="C72" s="2008"/>
      <c r="D72" s="2029" t="s">
        <v>1336</v>
      </c>
      <c r="E72" s="2030">
        <v>0</v>
      </c>
      <c r="F72" s="2011"/>
      <c r="G72" s="2012"/>
      <c r="H72" s="2013"/>
      <c r="I72" s="2014"/>
      <c r="J72" s="2015"/>
      <c r="K72" s="2012"/>
    </row>
    <row r="73" spans="1:11" ht="15" hidden="1">
      <c r="A73" s="2006">
        <v>76</v>
      </c>
      <c r="B73" s="2007" t="s">
        <v>35</v>
      </c>
      <c r="C73" s="2008"/>
      <c r="D73" s="2029" t="s">
        <v>1336</v>
      </c>
      <c r="E73" s="2030">
        <v>0</v>
      </c>
      <c r="F73" s="2011"/>
      <c r="G73" s="2012"/>
      <c r="H73" s="2013"/>
      <c r="I73" s="2014"/>
      <c r="J73" s="2015"/>
      <c r="K73" s="2012"/>
    </row>
    <row r="74" spans="1:11" ht="15" hidden="1">
      <c r="A74" s="2006">
        <v>77</v>
      </c>
      <c r="B74" s="2007" t="s">
        <v>35</v>
      </c>
      <c r="C74" s="2008"/>
      <c r="D74" s="2029" t="s">
        <v>1336</v>
      </c>
      <c r="E74" s="2030">
        <f>E73</f>
        <v>0</v>
      </c>
      <c r="F74" s="2011"/>
      <c r="G74" s="2012"/>
      <c r="H74" s="2013"/>
      <c r="I74" s="2014"/>
      <c r="J74" s="2015"/>
      <c r="K74" s="2012"/>
    </row>
    <row r="75" spans="1:11" ht="15" hidden="1">
      <c r="A75" s="2006">
        <v>78</v>
      </c>
      <c r="B75" s="2007" t="s">
        <v>35</v>
      </c>
      <c r="C75" s="2008"/>
      <c r="D75" s="2029" t="s">
        <v>1336</v>
      </c>
      <c r="E75" s="2030">
        <v>0</v>
      </c>
      <c r="F75" s="2011"/>
      <c r="G75" s="2012"/>
      <c r="H75" s="2013"/>
      <c r="I75" s="2014"/>
      <c r="J75" s="2015"/>
      <c r="K75" s="2012"/>
    </row>
    <row r="76" spans="1:11" ht="15" hidden="1">
      <c r="A76" s="2006">
        <v>79</v>
      </c>
      <c r="B76" s="2007" t="s">
        <v>35</v>
      </c>
      <c r="C76" s="2008"/>
      <c r="D76" s="2029" t="s">
        <v>1336</v>
      </c>
      <c r="E76" s="2030">
        <v>0</v>
      </c>
      <c r="F76" s="2011"/>
      <c r="G76" s="2012"/>
      <c r="H76" s="2013"/>
      <c r="I76" s="2014"/>
      <c r="J76" s="2015"/>
      <c r="K76" s="2012"/>
    </row>
    <row r="77" spans="1:11" ht="15" hidden="1">
      <c r="A77" s="2006">
        <v>80</v>
      </c>
      <c r="B77" s="2007" t="s">
        <v>35</v>
      </c>
      <c r="C77" s="2008"/>
      <c r="D77" s="2029" t="s">
        <v>1336</v>
      </c>
      <c r="E77" s="2030">
        <f>E76</f>
        <v>0</v>
      </c>
      <c r="F77" s="2011"/>
      <c r="G77" s="2012"/>
      <c r="H77" s="2013"/>
      <c r="I77" s="2014"/>
      <c r="J77" s="2015"/>
      <c r="K77" s="2012"/>
    </row>
    <row r="78" spans="1:11" ht="15" hidden="1">
      <c r="A78" s="2006">
        <v>81</v>
      </c>
      <c r="B78" s="2007" t="s">
        <v>35</v>
      </c>
      <c r="C78" s="2036"/>
      <c r="D78" s="2029" t="s">
        <v>1336</v>
      </c>
      <c r="E78" s="2030">
        <v>0</v>
      </c>
      <c r="F78" s="2011"/>
      <c r="G78" s="2012"/>
      <c r="H78" s="2013"/>
      <c r="I78" s="2014"/>
      <c r="J78" s="2015"/>
      <c r="K78" s="2012"/>
    </row>
    <row r="79" spans="1:11" ht="15" hidden="1">
      <c r="A79" s="2006">
        <v>82</v>
      </c>
      <c r="B79" s="2007" t="s">
        <v>35</v>
      </c>
      <c r="C79" s="2008"/>
      <c r="D79" s="2029" t="s">
        <v>1336</v>
      </c>
      <c r="E79" s="2030">
        <v>0</v>
      </c>
      <c r="F79" s="2011"/>
      <c r="G79" s="2012"/>
      <c r="H79" s="2013"/>
      <c r="I79" s="2014"/>
      <c r="J79" s="2015"/>
      <c r="K79" s="2012"/>
    </row>
    <row r="80" spans="1:11" ht="15" hidden="1">
      <c r="A80" s="2006">
        <v>83</v>
      </c>
      <c r="B80" s="2007" t="s">
        <v>35</v>
      </c>
      <c r="C80" s="2008"/>
      <c r="D80" s="2029" t="s">
        <v>1336</v>
      </c>
      <c r="E80" s="2030">
        <f>E79</f>
        <v>0</v>
      </c>
      <c r="F80" s="2011"/>
      <c r="G80" s="2012"/>
      <c r="H80" s="2013"/>
      <c r="I80" s="2014"/>
      <c r="J80" s="2015"/>
      <c r="K80" s="2012"/>
    </row>
    <row r="81" spans="1:11" ht="15" hidden="1">
      <c r="A81" s="2006">
        <v>84</v>
      </c>
      <c r="B81" s="2007" t="s">
        <v>35</v>
      </c>
      <c r="C81" s="2008"/>
      <c r="D81" s="2029" t="s">
        <v>1336</v>
      </c>
      <c r="E81" s="2030">
        <v>0</v>
      </c>
      <c r="F81" s="2011"/>
      <c r="G81" s="2012"/>
      <c r="H81" s="2013"/>
      <c r="I81" s="2014"/>
      <c r="J81" s="2015"/>
      <c r="K81" s="2012"/>
    </row>
    <row r="82" spans="1:11" ht="15" hidden="1">
      <c r="A82" s="2006">
        <v>85</v>
      </c>
      <c r="B82" s="2007" t="s">
        <v>35</v>
      </c>
      <c r="C82" s="2008"/>
      <c r="D82" s="2029" t="s">
        <v>1336</v>
      </c>
      <c r="E82" s="2030">
        <v>0</v>
      </c>
      <c r="F82" s="2011"/>
      <c r="G82" s="2012"/>
      <c r="H82" s="2013"/>
      <c r="I82" s="2014"/>
      <c r="J82" s="2015"/>
      <c r="K82" s="2012"/>
    </row>
    <row r="83" spans="1:11" ht="15" hidden="1">
      <c r="A83" s="2006">
        <v>86</v>
      </c>
      <c r="B83" s="2007" t="s">
        <v>35</v>
      </c>
      <c r="C83" s="2008"/>
      <c r="D83" s="2029" t="s">
        <v>1336</v>
      </c>
      <c r="E83" s="2030">
        <f>E82</f>
        <v>0</v>
      </c>
      <c r="F83" s="2011"/>
      <c r="G83" s="2012"/>
      <c r="H83" s="2013"/>
      <c r="I83" s="2014"/>
      <c r="J83" s="2015"/>
      <c r="K83" s="2012"/>
    </row>
    <row r="84" spans="1:11" ht="15" hidden="1">
      <c r="A84" s="2006">
        <v>87</v>
      </c>
      <c r="B84" s="2007" t="s">
        <v>35</v>
      </c>
      <c r="C84" s="2008"/>
      <c r="D84" s="2029" t="s">
        <v>1336</v>
      </c>
      <c r="E84" s="2030">
        <v>0</v>
      </c>
      <c r="F84" s="2011"/>
      <c r="G84" s="2012"/>
      <c r="H84" s="2013"/>
      <c r="I84" s="2014"/>
      <c r="J84" s="2015"/>
      <c r="K84" s="2012"/>
    </row>
    <row r="85" spans="1:11" ht="15" hidden="1">
      <c r="A85" s="2006">
        <v>88</v>
      </c>
      <c r="B85" s="2007" t="s">
        <v>35</v>
      </c>
      <c r="C85" s="2008"/>
      <c r="D85" s="2029" t="s">
        <v>1336</v>
      </c>
      <c r="E85" s="2030">
        <v>0</v>
      </c>
      <c r="F85" s="2011"/>
      <c r="G85" s="2012"/>
      <c r="H85" s="2013"/>
      <c r="I85" s="2014"/>
      <c r="J85" s="2015"/>
      <c r="K85" s="2012"/>
    </row>
    <row r="86" spans="1:11" ht="15" hidden="1">
      <c r="A86" s="2006">
        <v>89</v>
      </c>
      <c r="B86" s="2007" t="s">
        <v>35</v>
      </c>
      <c r="C86" s="2008"/>
      <c r="D86" s="2029" t="s">
        <v>1336</v>
      </c>
      <c r="E86" s="2030">
        <f>E85</f>
        <v>0</v>
      </c>
      <c r="F86" s="2011"/>
      <c r="G86" s="2012"/>
      <c r="H86" s="2013"/>
      <c r="I86" s="2014"/>
      <c r="J86" s="2015"/>
      <c r="K86" s="2012"/>
    </row>
    <row r="87" spans="1:11" ht="15" hidden="1">
      <c r="A87" s="2006">
        <v>90</v>
      </c>
      <c r="B87" s="2007" t="s">
        <v>35</v>
      </c>
      <c r="C87" s="2008"/>
      <c r="D87" s="2029" t="s">
        <v>1336</v>
      </c>
      <c r="E87" s="2030">
        <v>0</v>
      </c>
      <c r="F87" s="2011"/>
      <c r="G87" s="2012"/>
      <c r="H87" s="2013"/>
      <c r="I87" s="2014"/>
      <c r="J87" s="2015"/>
      <c r="K87" s="2012"/>
    </row>
    <row r="88" spans="1:11" ht="15" hidden="1">
      <c r="A88" s="2006">
        <v>91</v>
      </c>
      <c r="B88" s="2007" t="s">
        <v>35</v>
      </c>
      <c r="C88" s="2008"/>
      <c r="D88" s="2029" t="s">
        <v>1336</v>
      </c>
      <c r="E88" s="2030">
        <v>0</v>
      </c>
      <c r="F88" s="2011"/>
      <c r="G88" s="2012"/>
      <c r="H88" s="2013"/>
      <c r="I88" s="2014"/>
      <c r="J88" s="2015"/>
      <c r="K88" s="2012"/>
    </row>
    <row r="89" spans="1:11" ht="15" hidden="1">
      <c r="A89" s="2006">
        <v>92</v>
      </c>
      <c r="B89" s="2007" t="s">
        <v>35</v>
      </c>
      <c r="C89" s="2008"/>
      <c r="D89" s="2029" t="s">
        <v>1336</v>
      </c>
      <c r="E89" s="2030">
        <f>E88</f>
        <v>0</v>
      </c>
      <c r="F89" s="2011"/>
      <c r="G89" s="2012"/>
      <c r="H89" s="2013"/>
      <c r="I89" s="2014"/>
      <c r="J89" s="2015"/>
      <c r="K89" s="2012"/>
    </row>
    <row r="90" spans="1:11" ht="15" hidden="1">
      <c r="A90" s="2006">
        <v>93</v>
      </c>
      <c r="B90" s="2007" t="s">
        <v>35</v>
      </c>
      <c r="C90" s="2008"/>
      <c r="D90" s="2029" t="s">
        <v>1336</v>
      </c>
      <c r="E90" s="2030">
        <v>0</v>
      </c>
      <c r="F90" s="2011"/>
      <c r="G90" s="2012"/>
      <c r="H90" s="2013"/>
      <c r="I90" s="2014"/>
      <c r="J90" s="2015"/>
      <c r="K90" s="2012"/>
    </row>
    <row r="91" spans="1:11" ht="15" hidden="1">
      <c r="A91" s="2006">
        <v>94</v>
      </c>
      <c r="B91" s="2007" t="s">
        <v>35</v>
      </c>
      <c r="C91" s="2037"/>
      <c r="D91" s="2029" t="s">
        <v>1336</v>
      </c>
      <c r="E91" s="2030">
        <v>0</v>
      </c>
      <c r="F91" s="2011"/>
      <c r="G91" s="2012"/>
      <c r="H91" s="2038"/>
      <c r="I91" s="2039"/>
      <c r="J91" s="2040"/>
      <c r="K91" s="2041"/>
    </row>
    <row r="92" spans="1:11" ht="15.75" hidden="1" thickBot="1">
      <c r="A92" s="2006">
        <v>95</v>
      </c>
      <c r="B92" s="2042" t="s">
        <v>35</v>
      </c>
      <c r="C92" s="2043"/>
      <c r="D92" s="2019" t="s">
        <v>1336</v>
      </c>
      <c r="E92" s="2020">
        <f>E91</f>
        <v>0</v>
      </c>
      <c r="F92" s="2044"/>
      <c r="G92" s="2045"/>
      <c r="H92" s="2046"/>
      <c r="I92" s="2047"/>
      <c r="J92" s="2048"/>
      <c r="K92" s="2049"/>
    </row>
    <row r="93" spans="1:11" ht="15">
      <c r="A93" s="2097">
        <v>146</v>
      </c>
      <c r="B93" s="2098" t="s">
        <v>1337</v>
      </c>
      <c r="C93" s="2099"/>
      <c r="D93" s="2100" t="s">
        <v>1336</v>
      </c>
      <c r="E93" s="2101">
        <f>E92</f>
        <v>0</v>
      </c>
      <c r="F93" s="2102"/>
      <c r="G93" s="2103"/>
      <c r="H93" s="2104"/>
      <c r="I93" s="2105"/>
      <c r="J93" s="2106"/>
      <c r="K93" s="2105"/>
    </row>
    <row r="94" spans="1:11" ht="15">
      <c r="A94" s="2107">
        <v>147</v>
      </c>
      <c r="B94" s="2108" t="s">
        <v>1337</v>
      </c>
      <c r="C94" s="2109"/>
      <c r="D94" s="2110" t="s">
        <v>1336</v>
      </c>
      <c r="E94" s="2111">
        <f>E93</f>
        <v>0</v>
      </c>
      <c r="F94" s="2112"/>
      <c r="G94" s="2113"/>
      <c r="H94" s="2114"/>
      <c r="I94" s="2115"/>
      <c r="J94" s="2116"/>
      <c r="K94" s="2115"/>
    </row>
    <row r="95" spans="1:11" ht="15.75" thickBot="1">
      <c r="A95" s="2117">
        <v>148</v>
      </c>
      <c r="B95" s="2118" t="s">
        <v>1337</v>
      </c>
      <c r="C95" s="2119"/>
      <c r="D95" s="2120" t="s">
        <v>1336</v>
      </c>
      <c r="E95" s="2121">
        <f>E94</f>
        <v>0</v>
      </c>
      <c r="F95" s="2122"/>
      <c r="G95" s="2123"/>
      <c r="H95" s="2124"/>
      <c r="I95" s="2125"/>
      <c r="J95" s="2126"/>
      <c r="K95" s="2125"/>
    </row>
    <row r="96" spans="1:11" ht="15">
      <c r="A96" s="2127">
        <v>154</v>
      </c>
      <c r="B96" s="2128" t="s">
        <v>1338</v>
      </c>
      <c r="C96" s="2129"/>
      <c r="D96" s="2100" t="s">
        <v>1336</v>
      </c>
      <c r="E96" s="2130">
        <f>E95</f>
        <v>0</v>
      </c>
      <c r="F96" s="2131"/>
      <c r="G96" s="2132"/>
      <c r="H96" s="2133"/>
      <c r="I96" s="2134"/>
      <c r="J96" s="2135"/>
      <c r="K96" s="2132"/>
    </row>
    <row r="97" spans="1:11" ht="15">
      <c r="A97" s="2107">
        <v>155</v>
      </c>
      <c r="B97" s="2108" t="s">
        <v>1338</v>
      </c>
      <c r="C97" s="2109"/>
      <c r="D97" s="2100" t="s">
        <v>1336</v>
      </c>
      <c r="E97" s="2101">
        <f t="shared" ref="E97:E109" si="0">E96</f>
        <v>0</v>
      </c>
      <c r="F97" s="2112"/>
      <c r="G97" s="2113"/>
      <c r="H97" s="2114"/>
      <c r="I97" s="2115"/>
      <c r="J97" s="2116"/>
      <c r="K97" s="2113"/>
    </row>
    <row r="98" spans="1:11" ht="15">
      <c r="A98" s="2107">
        <v>156</v>
      </c>
      <c r="B98" s="2108" t="s">
        <v>1338</v>
      </c>
      <c r="C98" s="2109"/>
      <c r="D98" s="2100" t="s">
        <v>1336</v>
      </c>
      <c r="E98" s="2101">
        <f t="shared" si="0"/>
        <v>0</v>
      </c>
      <c r="F98" s="2136"/>
      <c r="G98" s="2113"/>
      <c r="H98" s="2114"/>
      <c r="I98" s="2115"/>
      <c r="J98" s="2116"/>
      <c r="K98" s="2113"/>
    </row>
    <row r="99" spans="1:11" ht="15">
      <c r="A99" s="2107">
        <v>157</v>
      </c>
      <c r="B99" s="2108" t="s">
        <v>1338</v>
      </c>
      <c r="C99" s="2137"/>
      <c r="D99" s="2100" t="s">
        <v>1336</v>
      </c>
      <c r="E99" s="2101">
        <f t="shared" si="0"/>
        <v>0</v>
      </c>
      <c r="F99" s="2112"/>
      <c r="G99" s="2113"/>
      <c r="H99" s="2138"/>
      <c r="I99" s="2115"/>
      <c r="J99" s="2116"/>
      <c r="K99" s="2113"/>
    </row>
    <row r="100" spans="1:11" ht="15">
      <c r="A100" s="2107">
        <v>158</v>
      </c>
      <c r="B100" s="2108" t="s">
        <v>1338</v>
      </c>
      <c r="C100" s="2109"/>
      <c r="D100" s="2100" t="s">
        <v>1336</v>
      </c>
      <c r="E100" s="2101">
        <f t="shared" si="0"/>
        <v>0</v>
      </c>
      <c r="F100" s="2112"/>
      <c r="G100" s="2113"/>
      <c r="H100" s="2114"/>
      <c r="I100" s="2115"/>
      <c r="J100" s="2116"/>
      <c r="K100" s="2113"/>
    </row>
    <row r="101" spans="1:11" ht="15">
      <c r="A101" s="2107">
        <v>159</v>
      </c>
      <c r="B101" s="2108" t="s">
        <v>1339</v>
      </c>
      <c r="C101" s="2109"/>
      <c r="D101" s="2100" t="s">
        <v>1336</v>
      </c>
      <c r="E101" s="2101">
        <f t="shared" si="0"/>
        <v>0</v>
      </c>
      <c r="F101" s="2112"/>
      <c r="G101" s="2113"/>
      <c r="H101" s="2114"/>
      <c r="I101" s="2115"/>
      <c r="J101" s="2116"/>
      <c r="K101" s="2113"/>
    </row>
    <row r="102" spans="1:11" ht="15">
      <c r="A102" s="2107">
        <v>160</v>
      </c>
      <c r="B102" s="2108" t="s">
        <v>1339</v>
      </c>
      <c r="C102" s="2109"/>
      <c r="D102" s="2100" t="s">
        <v>1336</v>
      </c>
      <c r="E102" s="2101">
        <f t="shared" si="0"/>
        <v>0</v>
      </c>
      <c r="F102" s="2112"/>
      <c r="G102" s="2113"/>
      <c r="H102" s="2114"/>
      <c r="I102" s="2115"/>
      <c r="J102" s="2116"/>
      <c r="K102" s="2113"/>
    </row>
    <row r="103" spans="1:11" ht="15">
      <c r="A103" s="2107">
        <v>161</v>
      </c>
      <c r="B103" s="2108" t="s">
        <v>1339</v>
      </c>
      <c r="C103" s="2109"/>
      <c r="D103" s="2100" t="s">
        <v>1336</v>
      </c>
      <c r="E103" s="2101">
        <f t="shared" si="0"/>
        <v>0</v>
      </c>
      <c r="F103" s="2112"/>
      <c r="G103" s="2113"/>
      <c r="H103" s="2114"/>
      <c r="I103" s="2115"/>
      <c r="J103" s="2116"/>
      <c r="K103" s="2113"/>
    </row>
    <row r="104" spans="1:11" ht="15">
      <c r="A104" s="2107">
        <v>162</v>
      </c>
      <c r="B104" s="2108" t="s">
        <v>1339</v>
      </c>
      <c r="C104" s="2109"/>
      <c r="D104" s="2100" t="s">
        <v>1336</v>
      </c>
      <c r="E104" s="2101">
        <f t="shared" si="0"/>
        <v>0</v>
      </c>
      <c r="F104" s="2112"/>
      <c r="G104" s="2113"/>
      <c r="H104" s="2114"/>
      <c r="I104" s="2115"/>
      <c r="J104" s="2116"/>
      <c r="K104" s="2113"/>
    </row>
    <row r="105" spans="1:11" ht="15">
      <c r="A105" s="2107">
        <v>163</v>
      </c>
      <c r="B105" s="2108" t="s">
        <v>1338</v>
      </c>
      <c r="C105" s="2109"/>
      <c r="D105" s="2100" t="s">
        <v>1336</v>
      </c>
      <c r="E105" s="2101">
        <f t="shared" si="0"/>
        <v>0</v>
      </c>
      <c r="F105" s="2112"/>
      <c r="G105" s="2113"/>
      <c r="H105" s="2114"/>
      <c r="I105" s="2115"/>
      <c r="J105" s="2116"/>
      <c r="K105" s="2113"/>
    </row>
    <row r="106" spans="1:11" ht="15">
      <c r="A106" s="2107">
        <v>164</v>
      </c>
      <c r="B106" s="2108" t="s">
        <v>1338</v>
      </c>
      <c r="C106" s="2109"/>
      <c r="D106" s="2100" t="s">
        <v>1336</v>
      </c>
      <c r="E106" s="2101">
        <f t="shared" si="0"/>
        <v>0</v>
      </c>
      <c r="F106" s="2112"/>
      <c r="G106" s="2113"/>
      <c r="H106" s="2114"/>
      <c r="I106" s="2115"/>
      <c r="J106" s="2139"/>
      <c r="K106" s="2113"/>
    </row>
    <row r="107" spans="1:11" ht="15">
      <c r="A107" s="2107">
        <v>165</v>
      </c>
      <c r="B107" s="2108" t="s">
        <v>1338</v>
      </c>
      <c r="C107" s="2109"/>
      <c r="D107" s="2100" t="s">
        <v>1336</v>
      </c>
      <c r="E107" s="2101">
        <f t="shared" si="0"/>
        <v>0</v>
      </c>
      <c r="F107" s="2112"/>
      <c r="G107" s="2113"/>
      <c r="H107" s="2114"/>
      <c r="I107" s="2115"/>
      <c r="J107" s="2139"/>
      <c r="K107" s="2113"/>
    </row>
    <row r="108" spans="1:11" ht="15">
      <c r="A108" s="2107">
        <v>166</v>
      </c>
      <c r="B108" s="2108" t="s">
        <v>1338</v>
      </c>
      <c r="C108" s="2109"/>
      <c r="D108" s="2100" t="s">
        <v>1336</v>
      </c>
      <c r="E108" s="2101">
        <f t="shared" si="0"/>
        <v>0</v>
      </c>
      <c r="F108" s="2112"/>
      <c r="G108" s="2113"/>
      <c r="H108" s="2114"/>
      <c r="I108" s="2115"/>
      <c r="J108" s="2139"/>
      <c r="K108" s="2113"/>
    </row>
    <row r="109" spans="1:11" ht="15.75" thickBot="1">
      <c r="A109" s="2117">
        <v>167</v>
      </c>
      <c r="B109" s="2118" t="s">
        <v>1340</v>
      </c>
      <c r="C109" s="2119"/>
      <c r="D109" s="2140" t="s">
        <v>1336</v>
      </c>
      <c r="E109" s="2141">
        <f t="shared" si="0"/>
        <v>0</v>
      </c>
      <c r="F109" s="2122"/>
      <c r="G109" s="2123"/>
      <c r="H109" s="2124"/>
      <c r="I109" s="2125"/>
      <c r="J109" s="2142"/>
      <c r="K109" s="2123"/>
    </row>
    <row r="110" spans="1:11" ht="15" thickBot="1">
      <c r="A110" s="2143"/>
      <c r="B110" s="2144"/>
      <c r="C110" s="2145" t="s">
        <v>353</v>
      </c>
      <c r="D110" s="2146"/>
      <c r="E110" s="2146"/>
      <c r="F110" s="2146"/>
      <c r="G110" s="2146"/>
      <c r="H110" s="2147"/>
      <c r="I110" s="2148"/>
      <c r="J110" s="2149"/>
      <c r="K110" s="2148"/>
    </row>
    <row r="111" spans="1:11" ht="13.5" thickBot="1">
      <c r="A111" s="380"/>
      <c r="B111" s="1643"/>
      <c r="C111" s="380"/>
      <c r="D111" s="380"/>
      <c r="E111" s="380"/>
      <c r="F111" s="380"/>
      <c r="G111" s="380"/>
      <c r="H111" s="380"/>
      <c r="I111" s="380"/>
      <c r="J111" s="380"/>
      <c r="K111" s="380"/>
    </row>
    <row r="112" spans="1:11" ht="15" thickBot="1">
      <c r="A112" s="2050">
        <v>1</v>
      </c>
      <c r="B112" s="2051" t="s">
        <v>1169</v>
      </c>
      <c r="C112" s="2052"/>
      <c r="D112" s="2053"/>
      <c r="E112" s="380"/>
      <c r="F112" s="380"/>
      <c r="G112" s="380"/>
      <c r="H112" s="380"/>
      <c r="I112" s="2054"/>
      <c r="J112" s="128"/>
      <c r="K112" s="128"/>
    </row>
    <row r="113" spans="1:11" ht="15" thickBot="1">
      <c r="A113" s="2050">
        <v>2</v>
      </c>
      <c r="B113" s="2051" t="s">
        <v>1341</v>
      </c>
      <c r="C113" s="2052"/>
      <c r="D113" s="2053"/>
      <c r="E113" s="380"/>
      <c r="F113" s="380"/>
      <c r="G113" s="380"/>
      <c r="H113" s="380"/>
      <c r="I113" s="2054"/>
      <c r="J113" s="2054"/>
      <c r="K113" s="2054"/>
    </row>
    <row r="114" spans="1:11" ht="15" thickBot="1">
      <c r="A114" s="2050">
        <v>3</v>
      </c>
      <c r="B114" s="2051" t="s">
        <v>1342</v>
      </c>
      <c r="C114" s="2052"/>
      <c r="D114" s="2053"/>
      <c r="E114" s="380"/>
      <c r="F114" s="380"/>
      <c r="G114" s="380"/>
      <c r="H114" s="380"/>
      <c r="I114" s="2054"/>
      <c r="J114" s="128"/>
      <c r="K114" s="128"/>
    </row>
    <row r="115" spans="1:11" ht="15" thickBot="1">
      <c r="A115" s="2050">
        <v>4</v>
      </c>
      <c r="B115" s="2051" t="s">
        <v>1343</v>
      </c>
      <c r="C115" s="2052"/>
      <c r="D115" s="2053"/>
      <c r="E115" s="380"/>
      <c r="F115" s="380"/>
      <c r="G115" s="380"/>
      <c r="H115" s="380"/>
      <c r="I115" s="2054"/>
      <c r="J115" s="128"/>
      <c r="K115" s="128"/>
    </row>
    <row r="116" spans="1:11" ht="13.5" thickBot="1">
      <c r="A116" s="380"/>
      <c r="B116" s="1643"/>
      <c r="C116" s="380"/>
      <c r="D116" s="380"/>
      <c r="E116" s="380"/>
      <c r="F116" s="380"/>
      <c r="G116" s="380"/>
      <c r="H116" s="380"/>
      <c r="I116" s="380"/>
      <c r="J116" s="2054"/>
      <c r="K116" s="2054"/>
    </row>
    <row r="117" spans="1:11" ht="16.5" thickBot="1">
      <c r="A117" s="380"/>
      <c r="B117" s="1643"/>
      <c r="C117" s="2055" t="s">
        <v>1344</v>
      </c>
      <c r="D117" s="2056"/>
      <c r="E117" s="380"/>
      <c r="F117" s="380"/>
      <c r="G117" s="380"/>
      <c r="H117" s="380"/>
      <c r="I117" s="2054"/>
      <c r="J117" s="2054"/>
      <c r="K117" s="2054"/>
    </row>
  </sheetData>
  <mergeCells count="1">
    <mergeCell ref="J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14" workbookViewId="0">
      <selection activeCell="I33" sqref="I33"/>
    </sheetView>
  </sheetViews>
  <sheetFormatPr defaultRowHeight="15"/>
  <cols>
    <col min="1" max="1" width="7.7109375" style="2057" bestFit="1" customWidth="1"/>
    <col min="2" max="2" width="58.85546875" style="2057" bestFit="1" customWidth="1"/>
    <col min="3" max="3" width="16.28515625" style="2057" bestFit="1" customWidth="1"/>
    <col min="4" max="4" width="14.7109375" style="2057" customWidth="1"/>
    <col min="5" max="5" width="12.28515625" style="2057" customWidth="1"/>
    <col min="6" max="6" width="14.28515625" style="2057" customWidth="1"/>
    <col min="7" max="7" width="13.7109375" style="2057" customWidth="1"/>
    <col min="8" max="8" width="16.7109375" style="2057" customWidth="1"/>
    <col min="9" max="9" width="18" style="2058" customWidth="1"/>
    <col min="10" max="10" width="15.140625" style="2058" customWidth="1"/>
    <col min="11" max="11" width="20.28515625" style="2058" customWidth="1"/>
  </cols>
  <sheetData>
    <row r="1" spans="1:11" ht="15.75" thickBot="1"/>
    <row r="2" spans="1:11" ht="15.75" thickBot="1">
      <c r="B2" s="2057" t="s">
        <v>423</v>
      </c>
      <c r="C2" s="2059"/>
    </row>
    <row r="3" spans="1:11" ht="15.75" thickBot="1">
      <c r="B3" s="2057" t="s">
        <v>424</v>
      </c>
      <c r="C3" s="2059"/>
      <c r="D3" s="2057" t="s">
        <v>1</v>
      </c>
    </row>
    <row r="4" spans="1:11" ht="15.75" thickBot="1">
      <c r="B4" s="2057" t="s">
        <v>1345</v>
      </c>
      <c r="C4" s="2060"/>
      <c r="D4" s="2057" t="s">
        <v>425</v>
      </c>
    </row>
    <row r="5" spans="1:11" ht="15.75">
      <c r="A5" s="2061"/>
      <c r="B5" s="2061"/>
      <c r="C5" s="2061"/>
      <c r="D5" s="2061"/>
      <c r="E5" s="2061"/>
      <c r="F5" s="2061"/>
      <c r="G5" s="2061"/>
      <c r="H5" s="2061"/>
      <c r="I5" s="2062"/>
      <c r="J5" s="2062"/>
      <c r="K5" s="2062"/>
    </row>
    <row r="6" spans="1:11" ht="15.75">
      <c r="A6" s="663"/>
      <c r="B6" s="663" t="s">
        <v>426</v>
      </c>
      <c r="C6" s="2063" t="s">
        <v>427</v>
      </c>
      <c r="D6" s="2063" t="s">
        <v>428</v>
      </c>
      <c r="E6" s="2064" t="s">
        <v>429</v>
      </c>
      <c r="F6" s="2065"/>
      <c r="G6" s="2065"/>
      <c r="H6" s="2065"/>
      <c r="I6" s="2066"/>
      <c r="J6" s="2066"/>
      <c r="K6" s="2066"/>
    </row>
    <row r="7" spans="1:11" ht="15.75">
      <c r="A7" s="668">
        <v>1</v>
      </c>
      <c r="B7" s="2067" t="s">
        <v>1346</v>
      </c>
      <c r="C7" s="2068" t="s">
        <v>430</v>
      </c>
      <c r="D7" s="2068">
        <v>0</v>
      </c>
      <c r="E7" s="2068">
        <v>0</v>
      </c>
      <c r="F7" s="2061"/>
      <c r="G7" s="2061"/>
      <c r="H7" s="2061"/>
      <c r="I7" s="2062"/>
      <c r="J7" s="2062"/>
      <c r="K7" s="2062"/>
    </row>
    <row r="8" spans="1:11" ht="15.75">
      <c r="A8" s="668">
        <v>2</v>
      </c>
      <c r="B8" s="2067" t="s">
        <v>727</v>
      </c>
      <c r="C8" s="2068" t="s">
        <v>65</v>
      </c>
      <c r="D8" s="2069"/>
      <c r="E8" s="2069"/>
      <c r="F8" s="2061"/>
      <c r="G8" s="2061"/>
      <c r="H8" s="2061"/>
      <c r="I8" s="2062"/>
      <c r="J8" s="2062"/>
      <c r="K8" s="2062"/>
    </row>
    <row r="9" spans="1:11" ht="15.75">
      <c r="A9" s="668">
        <v>3</v>
      </c>
      <c r="B9" s="2067" t="s">
        <v>1347</v>
      </c>
      <c r="C9" s="2068" t="s">
        <v>65</v>
      </c>
      <c r="D9" s="2070"/>
      <c r="E9" s="2070"/>
      <c r="F9" s="2061"/>
      <c r="G9" s="2061"/>
      <c r="H9" s="2061"/>
      <c r="I9" s="2062"/>
      <c r="J9" s="2062"/>
      <c r="K9" s="2062"/>
    </row>
    <row r="10" spans="1:11" ht="15.75">
      <c r="A10" s="668">
        <v>4</v>
      </c>
      <c r="B10" s="2067" t="s">
        <v>729</v>
      </c>
      <c r="C10" s="2068" t="s">
        <v>65</v>
      </c>
      <c r="D10" s="2070"/>
      <c r="E10" s="2070"/>
      <c r="F10" s="2061"/>
      <c r="G10" s="2061"/>
      <c r="H10" s="2061"/>
      <c r="I10" s="2062"/>
      <c r="J10" s="2062"/>
      <c r="K10" s="2062"/>
    </row>
    <row r="11" spans="1:11" ht="15.75">
      <c r="A11" s="668">
        <v>5</v>
      </c>
      <c r="B11" s="2067" t="s">
        <v>1348</v>
      </c>
      <c r="C11" s="2068" t="s">
        <v>65</v>
      </c>
      <c r="D11" s="2070"/>
      <c r="E11" s="2070"/>
      <c r="F11" s="2061"/>
      <c r="G11" s="2061"/>
      <c r="H11" s="2061"/>
      <c r="I11" s="2062"/>
      <c r="J11" s="2062"/>
      <c r="K11" s="2062"/>
    </row>
    <row r="12" spans="1:11" ht="15.75" hidden="1">
      <c r="A12" s="668">
        <v>6</v>
      </c>
      <c r="B12" s="671" t="s">
        <v>1349</v>
      </c>
      <c r="C12" s="2068" t="s">
        <v>65</v>
      </c>
      <c r="D12" s="2071"/>
      <c r="E12" s="2072"/>
      <c r="F12" s="613"/>
      <c r="G12" s="613"/>
      <c r="H12" s="2061"/>
      <c r="I12" s="2062"/>
      <c r="J12" s="2062"/>
      <c r="K12" s="2062"/>
    </row>
    <row r="13" spans="1:11" ht="15.75" hidden="1">
      <c r="A13" s="668">
        <v>7</v>
      </c>
      <c r="B13" s="671" t="s">
        <v>732</v>
      </c>
      <c r="C13" s="2068" t="s">
        <v>65</v>
      </c>
      <c r="D13" s="2072"/>
      <c r="E13" s="2072"/>
      <c r="F13" s="613"/>
      <c r="G13" s="613"/>
      <c r="H13" s="2061"/>
      <c r="I13" s="2062"/>
      <c r="J13" s="2062"/>
      <c r="K13" s="2062"/>
    </row>
    <row r="14" spans="1:11" ht="15.75">
      <c r="A14" s="673"/>
      <c r="B14" s="674"/>
      <c r="C14" s="636"/>
      <c r="D14" s="636"/>
      <c r="E14" s="636"/>
      <c r="F14" s="636"/>
      <c r="G14" s="636"/>
      <c r="H14" s="636"/>
      <c r="I14" s="675"/>
      <c r="J14" s="675"/>
      <c r="K14" s="675"/>
    </row>
    <row r="15" spans="1:11" ht="47.25">
      <c r="A15" s="1934"/>
      <c r="B15" s="677" t="s">
        <v>431</v>
      </c>
      <c r="C15" s="678" t="s">
        <v>432</v>
      </c>
      <c r="D15" s="678" t="s">
        <v>433</v>
      </c>
      <c r="E15" s="678" t="s">
        <v>1109</v>
      </c>
      <c r="F15" s="678" t="s">
        <v>1350</v>
      </c>
      <c r="G15" s="678" t="s">
        <v>434</v>
      </c>
      <c r="H15" s="678" t="s">
        <v>435</v>
      </c>
      <c r="I15" s="677" t="s">
        <v>436</v>
      </c>
      <c r="J15" s="677" t="s">
        <v>437</v>
      </c>
      <c r="K15" s="677" t="s">
        <v>438</v>
      </c>
    </row>
    <row r="16" spans="1:11" ht="15.75">
      <c r="A16" s="682"/>
      <c r="B16" s="683" t="s">
        <v>439</v>
      </c>
      <c r="C16" s="683"/>
      <c r="D16" s="683"/>
      <c r="E16" s="683"/>
      <c r="F16" s="683"/>
      <c r="G16" s="2073"/>
      <c r="H16" s="2074"/>
      <c r="I16" s="2075"/>
      <c r="J16" s="2075"/>
      <c r="K16" s="668"/>
    </row>
    <row r="17" spans="1:11" ht="15.75">
      <c r="A17" s="682"/>
      <c r="B17" s="683" t="s">
        <v>440</v>
      </c>
      <c r="C17" s="683"/>
      <c r="D17" s="683"/>
      <c r="E17" s="683"/>
      <c r="F17" s="1213"/>
      <c r="G17" s="2073"/>
      <c r="H17" s="2074"/>
      <c r="I17" s="2075"/>
      <c r="J17" s="2075"/>
      <c r="K17" s="2075"/>
    </row>
    <row r="18" spans="1:11" ht="15.75">
      <c r="A18" s="682"/>
      <c r="B18" s="683" t="s">
        <v>441</v>
      </c>
      <c r="C18" s="685"/>
      <c r="D18" s="685"/>
      <c r="E18" s="683"/>
      <c r="F18" s="2074"/>
      <c r="G18" s="2073"/>
      <c r="H18" s="2073"/>
      <c r="I18" s="2075"/>
      <c r="J18" s="2075"/>
      <c r="K18" s="2075"/>
    </row>
    <row r="19" spans="1:11" ht="15.75">
      <c r="A19" s="682"/>
      <c r="B19" s="683" t="s">
        <v>1356</v>
      </c>
      <c r="C19" s="685"/>
      <c r="D19" s="685"/>
      <c r="E19" s="683"/>
      <c r="F19" s="683"/>
      <c r="G19" s="2073"/>
      <c r="H19" s="2074"/>
      <c r="I19" s="2075"/>
      <c r="J19" s="2075"/>
      <c r="K19" s="2075"/>
    </row>
    <row r="20" spans="1:11" ht="15.75">
      <c r="A20" s="682"/>
      <c r="B20" s="683" t="s">
        <v>1307</v>
      </c>
      <c r="C20" s="685"/>
      <c r="D20" s="685"/>
      <c r="E20" s="683"/>
      <c r="F20" s="2076"/>
      <c r="G20" s="2074"/>
      <c r="H20" s="2074"/>
      <c r="I20" s="2075"/>
      <c r="J20" s="2075"/>
      <c r="K20" s="2075"/>
    </row>
    <row r="21" spans="1:11" ht="15.75">
      <c r="A21" s="682"/>
      <c r="B21" s="683"/>
      <c r="C21" s="683"/>
      <c r="D21" s="683"/>
      <c r="E21" s="686">
        <f t="shared" ref="E21:K21" si="0">SUM(E16:E20)</f>
        <v>0</v>
      </c>
      <c r="F21" s="2077">
        <f t="shared" si="0"/>
        <v>0</v>
      </c>
      <c r="G21" s="2077">
        <f t="shared" si="0"/>
        <v>0</v>
      </c>
      <c r="H21" s="2077">
        <f t="shared" si="0"/>
        <v>0</v>
      </c>
      <c r="I21" s="2077">
        <f t="shared" si="0"/>
        <v>0</v>
      </c>
      <c r="J21" s="2077">
        <f t="shared" si="0"/>
        <v>0</v>
      </c>
      <c r="K21" s="2077">
        <f t="shared" si="0"/>
        <v>0</v>
      </c>
    </row>
    <row r="22" spans="1:11" ht="15.75">
      <c r="A22" s="1214"/>
      <c r="B22" s="1215"/>
      <c r="C22" s="2078"/>
      <c r="D22" s="2078"/>
      <c r="E22" s="1215"/>
      <c r="F22" s="1215"/>
      <c r="G22" s="2079"/>
      <c r="H22" s="2080"/>
      <c r="I22" s="2081"/>
      <c r="J22" s="2081"/>
      <c r="K22" s="2082"/>
    </row>
    <row r="23" spans="1:11" ht="15.75">
      <c r="A23" s="2157" t="s">
        <v>442</v>
      </c>
      <c r="B23" s="2157"/>
      <c r="C23" s="2157"/>
      <c r="D23" s="2157"/>
      <c r="E23" s="2065"/>
      <c r="F23" s="635"/>
      <c r="G23" s="635"/>
      <c r="H23" s="635"/>
      <c r="I23" s="689"/>
      <c r="J23" s="690"/>
      <c r="K23" s="690"/>
    </row>
    <row r="24" spans="1:11" ht="15.75">
      <c r="A24" s="2155">
        <v>1</v>
      </c>
      <c r="B24" s="2156" t="s">
        <v>44</v>
      </c>
      <c r="C24" s="2278"/>
      <c r="D24" s="2279"/>
      <c r="E24" s="2161"/>
      <c r="F24" s="693"/>
      <c r="G24" s="693"/>
      <c r="H24" s="693"/>
      <c r="I24" s="694"/>
      <c r="J24" s="679"/>
      <c r="K24" s="679"/>
    </row>
    <row r="25" spans="1:11" ht="15.75">
      <c r="A25" s="696">
        <v>2</v>
      </c>
      <c r="B25" s="2096" t="s">
        <v>45</v>
      </c>
      <c r="C25" s="2280"/>
      <c r="D25" s="2281"/>
      <c r="E25" s="2162"/>
      <c r="F25" s="693"/>
      <c r="G25" s="693"/>
      <c r="H25" s="693"/>
      <c r="I25" s="694"/>
      <c r="J25" s="679"/>
      <c r="K25" s="679"/>
    </row>
    <row r="26" spans="1:11" ht="15.75">
      <c r="A26" s="696">
        <v>3</v>
      </c>
      <c r="B26" s="2096" t="s">
        <v>443</v>
      </c>
      <c r="C26" s="2281"/>
      <c r="D26" s="2282"/>
      <c r="E26" s="2162"/>
      <c r="F26" s="693"/>
      <c r="G26" s="693"/>
      <c r="H26" s="693"/>
      <c r="I26" s="694"/>
      <c r="J26" s="679"/>
      <c r="K26" s="679"/>
    </row>
    <row r="27" spans="1:11" ht="15.75">
      <c r="A27" s="696">
        <v>4</v>
      </c>
      <c r="B27" s="2096" t="s">
        <v>444</v>
      </c>
      <c r="C27" s="2280"/>
      <c r="D27" s="2281"/>
      <c r="E27" s="2161"/>
      <c r="F27" s="693"/>
      <c r="G27" s="693"/>
      <c r="H27" s="693"/>
      <c r="I27" s="694"/>
      <c r="J27" s="679"/>
      <c r="K27" s="679"/>
    </row>
    <row r="28" spans="1:11" ht="15.75">
      <c r="A28" s="2152">
        <v>5</v>
      </c>
      <c r="B28" s="2153" t="s">
        <v>445</v>
      </c>
      <c r="C28" s="2154" t="s">
        <v>427</v>
      </c>
      <c r="D28" s="2158"/>
      <c r="E28" s="2161"/>
      <c r="F28" s="693"/>
      <c r="G28" s="693"/>
      <c r="H28" s="693"/>
      <c r="I28" s="694"/>
      <c r="J28" s="679"/>
      <c r="K28" s="679"/>
    </row>
    <row r="29" spans="1:11" ht="15.75">
      <c r="A29" s="703" t="s">
        <v>342</v>
      </c>
      <c r="B29" s="2067" t="s">
        <v>1351</v>
      </c>
      <c r="C29" s="2068" t="s">
        <v>446</v>
      </c>
      <c r="D29" s="2159"/>
      <c r="E29" s="2161"/>
      <c r="F29" s="635"/>
      <c r="G29" s="636"/>
      <c r="H29" s="636"/>
      <c r="I29" s="688"/>
      <c r="J29" s="675"/>
      <c r="K29" s="675"/>
    </row>
    <row r="30" spans="1:11" ht="15.75">
      <c r="A30" s="703" t="s">
        <v>345</v>
      </c>
      <c r="B30" s="2067" t="s">
        <v>1352</v>
      </c>
      <c r="C30" s="2068" t="s">
        <v>446</v>
      </c>
      <c r="D30" s="2160"/>
      <c r="E30" s="2161"/>
      <c r="F30" s="635"/>
      <c r="G30" s="636"/>
      <c r="H30" s="636"/>
      <c r="I30" s="688"/>
      <c r="J30" s="675"/>
      <c r="K30" s="675"/>
    </row>
    <row r="31" spans="1:11" ht="15.75">
      <c r="A31" s="703" t="s">
        <v>382</v>
      </c>
      <c r="B31" s="2067" t="s">
        <v>1347</v>
      </c>
      <c r="C31" s="2068" t="s">
        <v>446</v>
      </c>
      <c r="D31" s="2160"/>
      <c r="E31" s="2162"/>
      <c r="F31" s="2083"/>
      <c r="G31" s="2084"/>
      <c r="H31" s="636"/>
      <c r="I31" s="688"/>
      <c r="J31" s="675"/>
      <c r="K31" s="675"/>
    </row>
    <row r="32" spans="1:11" ht="15.75">
      <c r="A32" s="703" t="s">
        <v>447</v>
      </c>
      <c r="B32" s="2067" t="s">
        <v>1353</v>
      </c>
      <c r="C32" s="2068" t="s">
        <v>446</v>
      </c>
      <c r="D32" s="2160"/>
      <c r="E32" s="2161"/>
      <c r="F32" s="635"/>
      <c r="G32" s="636"/>
      <c r="H32" s="2085"/>
      <c r="I32" s="688"/>
      <c r="J32" s="675"/>
      <c r="K32" s="675"/>
    </row>
    <row r="33" spans="1:11" ht="15.75">
      <c r="A33" s="703" t="s">
        <v>448</v>
      </c>
      <c r="B33" s="2067" t="s">
        <v>1351</v>
      </c>
      <c r="C33" s="2068" t="s">
        <v>446</v>
      </c>
      <c r="D33" s="2160"/>
      <c r="E33" s="2161"/>
      <c r="F33" s="2086"/>
      <c r="G33" s="675"/>
      <c r="H33" s="2085"/>
      <c r="I33" s="688"/>
      <c r="J33" s="675"/>
      <c r="K33" s="675"/>
    </row>
    <row r="34" spans="1:11" ht="15.75">
      <c r="A34" s="703" t="s">
        <v>449</v>
      </c>
      <c r="B34" s="2067" t="s">
        <v>1357</v>
      </c>
      <c r="C34" s="2068" t="s">
        <v>446</v>
      </c>
      <c r="D34" s="2160"/>
      <c r="E34" s="2161"/>
      <c r="F34" s="2086"/>
      <c r="G34" s="675"/>
      <c r="H34" s="2085"/>
      <c r="I34" s="688"/>
      <c r="J34" s="675"/>
      <c r="K34" s="675"/>
    </row>
    <row r="35" spans="1:11" ht="15.75">
      <c r="A35" s="703" t="s">
        <v>450</v>
      </c>
      <c r="B35" s="2067" t="s">
        <v>1358</v>
      </c>
      <c r="C35" s="2068" t="s">
        <v>446</v>
      </c>
      <c r="D35" s="2160"/>
      <c r="E35" s="2161"/>
      <c r="F35" s="2086"/>
      <c r="G35" s="675"/>
      <c r="H35" s="2085"/>
      <c r="I35" s="688"/>
      <c r="J35" s="675"/>
      <c r="K35" s="675"/>
    </row>
    <row r="36" spans="1:11" ht="15.75">
      <c r="A36" s="703" t="s">
        <v>1354</v>
      </c>
      <c r="B36" s="671" t="s">
        <v>1353</v>
      </c>
      <c r="C36" s="2068" t="s">
        <v>446</v>
      </c>
      <c r="D36" s="2160"/>
      <c r="E36" s="2161"/>
      <c r="F36" s="2087"/>
      <c r="G36" s="2088"/>
    </row>
    <row r="37" spans="1:11" ht="15.75">
      <c r="A37" s="704" t="s">
        <v>1355</v>
      </c>
      <c r="B37" s="671" t="s">
        <v>1359</v>
      </c>
      <c r="C37" s="2068" t="s">
        <v>446</v>
      </c>
      <c r="D37" s="2160"/>
      <c r="E37" s="2161"/>
      <c r="F37" s="2087"/>
      <c r="G37" s="2088"/>
      <c r="H37" s="2089"/>
    </row>
    <row r="38" spans="1:11" ht="15.75">
      <c r="E38" s="2065"/>
      <c r="F38" s="2090"/>
      <c r="G38" s="2091"/>
    </row>
    <row r="39" spans="1:11" ht="15.75">
      <c r="E39" s="2065"/>
    </row>
    <row r="40" spans="1:11" ht="15.75">
      <c r="A40" s="2092"/>
      <c r="B40" s="2093"/>
      <c r="C40" s="2092"/>
      <c r="D40" s="2093"/>
      <c r="E40" s="2065"/>
      <c r="F40" s="2092"/>
      <c r="G40" s="2094"/>
      <c r="H40" s="2092"/>
      <c r="I40" s="2095"/>
      <c r="J40" s="2095"/>
      <c r="K40" s="2095"/>
    </row>
    <row r="41" spans="1:11" ht="15.75">
      <c r="B41" s="2057" t="s">
        <v>126</v>
      </c>
      <c r="D41" s="2057" t="s">
        <v>124</v>
      </c>
      <c r="E41" s="2065"/>
      <c r="G41" s="2058" t="s">
        <v>127</v>
      </c>
    </row>
    <row r="42" spans="1:11" ht="15.75">
      <c r="E42" s="2065"/>
    </row>
    <row r="43" spans="1:11" ht="15.75">
      <c r="E43" s="2065"/>
    </row>
    <row r="44" spans="1:11" ht="15.75">
      <c r="E44" s="2065"/>
    </row>
    <row r="45" spans="1:11" ht="15.75">
      <c r="E45" s="2065"/>
    </row>
  </sheetData>
  <mergeCells count="4">
    <mergeCell ref="C24:D24"/>
    <mergeCell ref="C25:D25"/>
    <mergeCell ref="C26:D26"/>
    <mergeCell ref="C27:D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O17" sqref="O17"/>
    </sheetView>
  </sheetViews>
  <sheetFormatPr defaultRowHeight="12.75"/>
  <cols>
    <col min="1" max="1" width="5.140625" style="1758" customWidth="1"/>
    <col min="2" max="2" width="45.7109375" style="1758" customWidth="1"/>
    <col min="3" max="3" width="10" style="1758" bestFit="1" customWidth="1"/>
    <col min="4" max="4" width="15.5703125" style="1758" bestFit="1" customWidth="1"/>
    <col min="5" max="5" width="12.7109375" style="1758" customWidth="1"/>
    <col min="6" max="6" width="20.5703125" style="1758" customWidth="1"/>
  </cols>
  <sheetData>
    <row r="1" spans="1:6" ht="15">
      <c r="A1" s="77"/>
      <c r="B1" s="77"/>
      <c r="C1" s="77"/>
      <c r="D1" s="2283" t="s">
        <v>159</v>
      </c>
      <c r="E1" s="2283"/>
      <c r="F1" s="2283"/>
    </row>
    <row r="2" spans="1:6" ht="14.25">
      <c r="A2" s="2284" t="s">
        <v>599</v>
      </c>
      <c r="B2" s="2284"/>
      <c r="C2" s="2284"/>
      <c r="D2" s="2284"/>
      <c r="E2" s="2284"/>
      <c r="F2" s="2284"/>
    </row>
    <row r="3" spans="1:6" ht="15" thickBot="1">
      <c r="A3" s="2285" t="s">
        <v>1301</v>
      </c>
      <c r="B3" s="2285"/>
      <c r="C3" s="2285"/>
      <c r="D3" s="2285"/>
      <c r="E3" s="2285"/>
      <c r="F3" s="2285"/>
    </row>
    <row r="4" spans="1:6" ht="17.25" thickTop="1" thickBot="1">
      <c r="A4" s="481" t="s">
        <v>595</v>
      </c>
      <c r="B4" s="759"/>
      <c r="C4" s="760"/>
      <c r="D4" s="495"/>
      <c r="E4" s="760"/>
      <c r="F4" s="760"/>
    </row>
    <row r="5" spans="1:6" ht="15.75" thickTop="1">
      <c r="A5" s="2286" t="s">
        <v>140</v>
      </c>
      <c r="B5" s="2286"/>
      <c r="C5" s="2287"/>
      <c r="D5" s="2287"/>
      <c r="E5" s="2287"/>
      <c r="F5" s="2287"/>
    </row>
    <row r="6" spans="1:6" ht="13.5" thickBot="1">
      <c r="A6" s="2288" t="s">
        <v>139</v>
      </c>
      <c r="B6" s="2288"/>
      <c r="C6" s="2289" t="s">
        <v>143</v>
      </c>
      <c r="D6" s="2289"/>
      <c r="E6" s="2289"/>
      <c r="F6" s="2289"/>
    </row>
    <row r="7" spans="1:6" ht="17.25" thickTop="1" thickBot="1">
      <c r="A7" s="2290" t="s">
        <v>396</v>
      </c>
      <c r="B7" s="2290"/>
      <c r="C7" s="388" t="s">
        <v>84</v>
      </c>
      <c r="D7" s="495"/>
      <c r="E7" s="388"/>
      <c r="F7" s="388"/>
    </row>
    <row r="8" spans="1:6" ht="14.25" thickTop="1" thickBot="1">
      <c r="A8" s="753"/>
      <c r="B8" s="753"/>
      <c r="C8" s="753"/>
      <c r="D8" s="753"/>
    </row>
    <row r="9" spans="1:6" ht="45">
      <c r="A9" s="1940" t="s">
        <v>14</v>
      </c>
      <c r="B9" s="1937" t="s">
        <v>15</v>
      </c>
      <c r="C9" s="1937" t="s">
        <v>2</v>
      </c>
      <c r="D9" s="1937" t="s">
        <v>16</v>
      </c>
      <c r="E9" s="1937" t="s">
        <v>32</v>
      </c>
      <c r="F9" s="1939" t="s">
        <v>33</v>
      </c>
    </row>
    <row r="10" spans="1:6" ht="15">
      <c r="A10" s="1941">
        <v>1</v>
      </c>
      <c r="B10" s="1938">
        <v>2</v>
      </c>
      <c r="C10" s="1938">
        <v>3</v>
      </c>
      <c r="D10" s="1938">
        <v>4</v>
      </c>
      <c r="E10" s="1938">
        <v>5</v>
      </c>
      <c r="F10" s="81">
        <v>6</v>
      </c>
    </row>
    <row r="11" spans="1:6" ht="15">
      <c r="A11" s="186" t="s">
        <v>456</v>
      </c>
      <c r="B11" s="465" t="s">
        <v>758</v>
      </c>
      <c r="C11" s="1918" t="s">
        <v>600</v>
      </c>
      <c r="D11" s="452"/>
      <c r="E11" s="1918"/>
      <c r="F11" s="466"/>
    </row>
    <row r="12" spans="1:6" ht="15">
      <c r="A12" s="1162" t="s">
        <v>405</v>
      </c>
      <c r="B12" s="1930" t="s">
        <v>1265</v>
      </c>
      <c r="C12" s="1918" t="s">
        <v>600</v>
      </c>
      <c r="D12" s="452"/>
      <c r="E12" s="1918"/>
      <c r="F12" s="466"/>
    </row>
    <row r="13" spans="1:6" ht="30">
      <c r="A13" s="1162" t="s">
        <v>406</v>
      </c>
      <c r="B13" s="1778" t="s">
        <v>1266</v>
      </c>
      <c r="C13" s="1918" t="s">
        <v>724</v>
      </c>
      <c r="D13" s="452"/>
      <c r="E13" s="1918"/>
      <c r="F13" s="466"/>
    </row>
    <row r="14" spans="1:6" ht="15">
      <c r="A14" s="186" t="s">
        <v>457</v>
      </c>
      <c r="B14" s="899" t="s">
        <v>762</v>
      </c>
      <c r="C14" s="1918"/>
      <c r="D14" s="441"/>
      <c r="E14" s="452"/>
      <c r="F14" s="466"/>
    </row>
    <row r="15" spans="1:6" ht="15">
      <c r="A15" s="186" t="s">
        <v>458</v>
      </c>
      <c r="B15" s="899" t="s">
        <v>763</v>
      </c>
      <c r="C15" s="1918"/>
      <c r="D15" s="441"/>
      <c r="E15" s="452"/>
      <c r="F15" s="466"/>
    </row>
    <row r="16" spans="1:6" ht="15">
      <c r="A16" s="1162" t="s">
        <v>460</v>
      </c>
      <c r="B16" s="899" t="s">
        <v>743</v>
      </c>
      <c r="C16" s="1918"/>
      <c r="D16" s="441"/>
      <c r="E16" s="452"/>
      <c r="F16" s="466"/>
    </row>
    <row r="17" spans="1:6" ht="15">
      <c r="A17" s="1161" t="s">
        <v>461</v>
      </c>
      <c r="B17" s="828" t="s">
        <v>1270</v>
      </c>
      <c r="C17" s="65"/>
      <c r="D17" s="65"/>
      <c r="E17" s="65"/>
      <c r="F17" s="280"/>
    </row>
    <row r="18" spans="1:6" ht="15">
      <c r="A18" s="1161" t="s">
        <v>462</v>
      </c>
      <c r="B18" s="828" t="s">
        <v>1271</v>
      </c>
      <c r="C18" s="65"/>
      <c r="D18" s="65"/>
      <c r="E18" s="65"/>
      <c r="F18" s="280"/>
    </row>
    <row r="19" spans="1:6" ht="15">
      <c r="A19" s="1941">
        <v>9</v>
      </c>
      <c r="B19" s="99" t="s">
        <v>26</v>
      </c>
      <c r="C19" s="73"/>
      <c r="D19" s="73"/>
      <c r="E19" s="73"/>
      <c r="F19" s="277">
        <f>SUM(F16:F18)</f>
        <v>0</v>
      </c>
    </row>
    <row r="20" spans="1:6" ht="15">
      <c r="A20" s="86"/>
      <c r="B20" s="99" t="s">
        <v>401</v>
      </c>
      <c r="C20" s="73"/>
      <c r="D20" s="73"/>
      <c r="E20" s="73"/>
      <c r="F20" s="277">
        <f>F19*0.2</f>
        <v>0</v>
      </c>
    </row>
    <row r="21" spans="1:6" ht="15.75" thickBot="1">
      <c r="A21" s="87"/>
      <c r="B21" s="100" t="s">
        <v>31</v>
      </c>
      <c r="C21" s="75"/>
      <c r="D21" s="75"/>
      <c r="E21" s="75"/>
      <c r="F21" s="278">
        <f>F19+F20</f>
        <v>0</v>
      </c>
    </row>
    <row r="24" spans="1:6" ht="15.75">
      <c r="B24" s="912"/>
      <c r="C24" s="2291"/>
      <c r="D24" s="2291"/>
      <c r="E24" s="2292"/>
      <c r="F24" s="2292"/>
    </row>
    <row r="25" spans="1:6">
      <c r="B25" s="1914" t="s">
        <v>126</v>
      </c>
      <c r="C25" s="2293" t="s">
        <v>124</v>
      </c>
      <c r="D25" s="2293"/>
      <c r="E25" s="2294" t="s">
        <v>127</v>
      </c>
      <c r="F25" s="2294"/>
    </row>
    <row r="27" spans="1:6" ht="15">
      <c r="A27" s="77"/>
      <c r="B27" s="77"/>
      <c r="C27" s="77"/>
      <c r="D27" s="2283" t="s">
        <v>159</v>
      </c>
      <c r="E27" s="2283"/>
      <c r="F27" s="2283"/>
    </row>
    <row r="28" spans="1:6" ht="14.25">
      <c r="A28" s="2284" t="s">
        <v>599</v>
      </c>
      <c r="B28" s="2284"/>
      <c r="C28" s="2284"/>
      <c r="D28" s="2284"/>
      <c r="E28" s="2284"/>
      <c r="F28" s="2284"/>
    </row>
    <row r="29" spans="1:6" ht="15" thickBot="1">
      <c r="A29" s="2285" t="s">
        <v>1302</v>
      </c>
      <c r="B29" s="2285"/>
      <c r="C29" s="2285"/>
      <c r="D29" s="2285"/>
      <c r="E29" s="2285"/>
      <c r="F29" s="2285"/>
    </row>
    <row r="30" spans="1:6" ht="17.25" thickTop="1" thickBot="1">
      <c r="A30" s="481" t="s">
        <v>595</v>
      </c>
      <c r="B30" s="759"/>
      <c r="C30" s="760"/>
      <c r="D30" s="495"/>
      <c r="E30" s="760"/>
      <c r="F30" s="760"/>
    </row>
    <row r="31" spans="1:6" ht="15.75" thickTop="1">
      <c r="A31" s="2286" t="s">
        <v>140</v>
      </c>
      <c r="B31" s="2286"/>
      <c r="C31" s="2287"/>
      <c r="D31" s="2287"/>
      <c r="E31" s="2287"/>
      <c r="F31" s="2287"/>
    </row>
    <row r="32" spans="1:6" ht="13.5" thickBot="1">
      <c r="A32" s="2288" t="s">
        <v>139</v>
      </c>
      <c r="B32" s="2288"/>
      <c r="C32" s="2289" t="s">
        <v>143</v>
      </c>
      <c r="D32" s="2289"/>
      <c r="E32" s="2289"/>
      <c r="F32" s="2289"/>
    </row>
    <row r="33" spans="1:6" ht="17.25" thickTop="1" thickBot="1">
      <c r="A33" s="2290" t="s">
        <v>396</v>
      </c>
      <c r="B33" s="2290"/>
      <c r="C33" s="388" t="s">
        <v>84</v>
      </c>
      <c r="D33" s="495"/>
      <c r="E33" s="388"/>
      <c r="F33" s="388"/>
    </row>
    <row r="34" spans="1:6" ht="14.25" thickTop="1" thickBot="1">
      <c r="A34" s="753"/>
      <c r="B34" s="753"/>
      <c r="C34" s="753"/>
      <c r="D34" s="753"/>
    </row>
    <row r="35" spans="1:6" ht="45">
      <c r="A35" s="1940" t="s">
        <v>14</v>
      </c>
      <c r="B35" s="1937" t="s">
        <v>15</v>
      </c>
      <c r="C35" s="1937" t="s">
        <v>2</v>
      </c>
      <c r="D35" s="1937" t="s">
        <v>16</v>
      </c>
      <c r="E35" s="1937" t="s">
        <v>32</v>
      </c>
      <c r="F35" s="1939" t="s">
        <v>33</v>
      </c>
    </row>
    <row r="36" spans="1:6" ht="15">
      <c r="A36" s="1941">
        <v>1</v>
      </c>
      <c r="B36" s="1938">
        <v>2</v>
      </c>
      <c r="C36" s="1938">
        <v>3</v>
      </c>
      <c r="D36" s="1938">
        <v>4</v>
      </c>
      <c r="E36" s="1938">
        <v>5</v>
      </c>
      <c r="F36" s="81">
        <v>6</v>
      </c>
    </row>
    <row r="37" spans="1:6" ht="15">
      <c r="A37" s="186" t="s">
        <v>456</v>
      </c>
      <c r="B37" s="465" t="s">
        <v>758</v>
      </c>
      <c r="C37" s="1918" t="s">
        <v>600</v>
      </c>
      <c r="D37" s="452"/>
      <c r="E37" s="1918"/>
      <c r="F37" s="466"/>
    </row>
    <row r="38" spans="1:6" ht="15">
      <c r="A38" s="1162" t="s">
        <v>405</v>
      </c>
      <c r="B38" s="1930" t="s">
        <v>1265</v>
      </c>
      <c r="C38" s="1918" t="s">
        <v>600</v>
      </c>
      <c r="D38" s="452"/>
      <c r="E38" s="1918"/>
      <c r="F38" s="466"/>
    </row>
    <row r="39" spans="1:6" ht="30">
      <c r="A39" s="1162" t="s">
        <v>406</v>
      </c>
      <c r="B39" s="1778" t="s">
        <v>1266</v>
      </c>
      <c r="C39" s="1918" t="s">
        <v>724</v>
      </c>
      <c r="D39" s="452"/>
      <c r="E39" s="1918"/>
      <c r="F39" s="466"/>
    </row>
    <row r="40" spans="1:6" ht="15">
      <c r="A40" s="186" t="s">
        <v>457</v>
      </c>
      <c r="B40" s="899" t="s">
        <v>762</v>
      </c>
      <c r="C40" s="1918"/>
      <c r="D40" s="441"/>
      <c r="E40" s="452"/>
      <c r="F40" s="466"/>
    </row>
    <row r="41" spans="1:6" ht="15">
      <c r="A41" s="186" t="s">
        <v>458</v>
      </c>
      <c r="B41" s="899" t="s">
        <v>763</v>
      </c>
      <c r="C41" s="1918"/>
      <c r="D41" s="441"/>
      <c r="E41" s="452"/>
      <c r="F41" s="466"/>
    </row>
    <row r="42" spans="1:6" ht="15">
      <c r="A42" s="1162" t="s">
        <v>460</v>
      </c>
      <c r="B42" s="899" t="s">
        <v>743</v>
      </c>
      <c r="C42" s="1918"/>
      <c r="D42" s="441"/>
      <c r="E42" s="452"/>
      <c r="F42" s="466"/>
    </row>
    <row r="43" spans="1:6" ht="15">
      <c r="A43" s="1161" t="s">
        <v>461</v>
      </c>
      <c r="B43" s="828" t="s">
        <v>1270</v>
      </c>
      <c r="C43" s="65"/>
      <c r="D43" s="65"/>
      <c r="E43" s="65"/>
      <c r="F43" s="280"/>
    </row>
    <row r="44" spans="1:6" ht="15">
      <c r="A44" s="1161" t="s">
        <v>462</v>
      </c>
      <c r="B44" s="828" t="s">
        <v>1271</v>
      </c>
      <c r="C44" s="65"/>
      <c r="D44" s="65"/>
      <c r="E44" s="65"/>
      <c r="F44" s="280"/>
    </row>
    <row r="45" spans="1:6" ht="15">
      <c r="A45" s="1941">
        <v>9</v>
      </c>
      <c r="B45" s="99" t="s">
        <v>26</v>
      </c>
      <c r="C45" s="73"/>
      <c r="D45" s="73"/>
      <c r="E45" s="73"/>
      <c r="F45" s="277">
        <f>SUM(F42:F44)</f>
        <v>0</v>
      </c>
    </row>
    <row r="46" spans="1:6" ht="15">
      <c r="A46" s="86"/>
      <c r="B46" s="99" t="s">
        <v>401</v>
      </c>
      <c r="C46" s="73"/>
      <c r="D46" s="73"/>
      <c r="E46" s="73"/>
      <c r="F46" s="277">
        <f>F45*0.2</f>
        <v>0</v>
      </c>
    </row>
    <row r="47" spans="1:6" ht="15.75" thickBot="1">
      <c r="A47" s="87"/>
      <c r="B47" s="100" t="s">
        <v>31</v>
      </c>
      <c r="C47" s="75"/>
      <c r="D47" s="75"/>
      <c r="E47" s="75"/>
      <c r="F47" s="278">
        <f>F45+F46</f>
        <v>0</v>
      </c>
    </row>
    <row r="50" spans="1:6" ht="15.75">
      <c r="B50" s="912"/>
      <c r="C50" s="2291"/>
      <c r="D50" s="2291"/>
      <c r="E50" s="2292"/>
      <c r="F50" s="2292"/>
    </row>
    <row r="51" spans="1:6">
      <c r="B51" s="1914" t="s">
        <v>126</v>
      </c>
      <c r="C51" s="2293" t="s">
        <v>124</v>
      </c>
      <c r="D51" s="2293"/>
      <c r="E51" s="2294" t="s">
        <v>127</v>
      </c>
      <c r="F51" s="2294"/>
    </row>
    <row r="53" spans="1:6" ht="14.25">
      <c r="A53" s="2284" t="s">
        <v>599</v>
      </c>
      <c r="B53" s="2284"/>
      <c r="C53" s="2284"/>
      <c r="D53" s="2284"/>
      <c r="E53" s="2284"/>
      <c r="F53" s="2284"/>
    </row>
    <row r="54" spans="1:6" ht="15" thickBot="1">
      <c r="A54" s="2285" t="s">
        <v>1303</v>
      </c>
      <c r="B54" s="2285"/>
      <c r="C54" s="2285"/>
      <c r="D54" s="2285"/>
      <c r="E54" s="2285"/>
      <c r="F54" s="2285"/>
    </row>
    <row r="55" spans="1:6" ht="17.25" thickTop="1" thickBot="1">
      <c r="A55" s="481" t="s">
        <v>595</v>
      </c>
      <c r="B55" s="759"/>
      <c r="C55" s="760"/>
      <c r="D55" s="495"/>
      <c r="E55" s="760"/>
      <c r="F55" s="760"/>
    </row>
    <row r="56" spans="1:6" ht="15.75" thickTop="1">
      <c r="A56" s="2286" t="s">
        <v>140</v>
      </c>
      <c r="B56" s="2286"/>
      <c r="C56" s="2287"/>
      <c r="D56" s="2287"/>
      <c r="E56" s="2287"/>
      <c r="F56" s="2287"/>
    </row>
    <row r="57" spans="1:6" ht="13.5" thickBot="1">
      <c r="A57" s="2288" t="s">
        <v>139</v>
      </c>
      <c r="B57" s="2288"/>
      <c r="C57" s="2289" t="s">
        <v>143</v>
      </c>
      <c r="D57" s="2289"/>
      <c r="E57" s="2289"/>
      <c r="F57" s="2289"/>
    </row>
    <row r="58" spans="1:6" ht="17.25" thickTop="1" thickBot="1">
      <c r="A58" s="2290" t="s">
        <v>396</v>
      </c>
      <c r="B58" s="2290"/>
      <c r="C58" s="388" t="s">
        <v>84</v>
      </c>
      <c r="D58" s="495"/>
      <c r="E58" s="388"/>
      <c r="F58" s="388"/>
    </row>
    <row r="59" spans="1:6" ht="14.25" thickTop="1" thickBot="1">
      <c r="A59" s="753"/>
      <c r="B59" s="753"/>
      <c r="C59" s="753"/>
      <c r="D59" s="753"/>
    </row>
    <row r="60" spans="1:6" ht="45">
      <c r="A60" s="1940" t="s">
        <v>14</v>
      </c>
      <c r="B60" s="1937" t="s">
        <v>15</v>
      </c>
      <c r="C60" s="1937" t="s">
        <v>2</v>
      </c>
      <c r="D60" s="1937" t="s">
        <v>16</v>
      </c>
      <c r="E60" s="1937" t="s">
        <v>32</v>
      </c>
      <c r="F60" s="1939" t="s">
        <v>33</v>
      </c>
    </row>
    <row r="61" spans="1:6" ht="15">
      <c r="A61" s="1941">
        <v>1</v>
      </c>
      <c r="B61" s="1938">
        <v>2</v>
      </c>
      <c r="C61" s="1938">
        <v>3</v>
      </c>
      <c r="D61" s="1938">
        <v>4</v>
      </c>
      <c r="E61" s="1938">
        <v>5</v>
      </c>
      <c r="F61" s="81">
        <v>6</v>
      </c>
    </row>
    <row r="62" spans="1:6" ht="15">
      <c r="A62" s="186" t="s">
        <v>456</v>
      </c>
      <c r="B62" s="465" t="s">
        <v>758</v>
      </c>
      <c r="C62" s="1918" t="s">
        <v>600</v>
      </c>
      <c r="D62" s="452"/>
      <c r="E62" s="1918"/>
      <c r="F62" s="466"/>
    </row>
    <row r="63" spans="1:6" ht="15">
      <c r="A63" s="1162" t="s">
        <v>405</v>
      </c>
      <c r="B63" s="1930" t="s">
        <v>1265</v>
      </c>
      <c r="C63" s="1918" t="s">
        <v>600</v>
      </c>
      <c r="D63" s="452"/>
      <c r="E63" s="1918"/>
      <c r="F63" s="466"/>
    </row>
    <row r="64" spans="1:6" ht="30">
      <c r="A64" s="1162" t="s">
        <v>406</v>
      </c>
      <c r="B64" s="1778" t="s">
        <v>1266</v>
      </c>
      <c r="C64" s="1918" t="s">
        <v>724</v>
      </c>
      <c r="D64" s="452"/>
      <c r="E64" s="1918"/>
      <c r="F64" s="466"/>
    </row>
    <row r="65" spans="1:6" ht="15">
      <c r="A65" s="186" t="s">
        <v>457</v>
      </c>
      <c r="B65" s="899" t="s">
        <v>762</v>
      </c>
      <c r="C65" s="1918"/>
      <c r="D65" s="441"/>
      <c r="E65" s="452"/>
      <c r="F65" s="466"/>
    </row>
    <row r="66" spans="1:6" ht="15">
      <c r="A66" s="186" t="s">
        <v>458</v>
      </c>
      <c r="B66" s="899" t="s">
        <v>763</v>
      </c>
      <c r="C66" s="1918"/>
      <c r="D66" s="441"/>
      <c r="E66" s="452"/>
      <c r="F66" s="466"/>
    </row>
    <row r="67" spans="1:6" ht="15">
      <c r="A67" s="1162" t="s">
        <v>460</v>
      </c>
      <c r="B67" s="899" t="s">
        <v>743</v>
      </c>
      <c r="C67" s="1918"/>
      <c r="D67" s="441"/>
      <c r="E67" s="452"/>
      <c r="F67" s="466"/>
    </row>
    <row r="68" spans="1:6" ht="15">
      <c r="A68" s="1161" t="s">
        <v>461</v>
      </c>
      <c r="B68" s="828" t="s">
        <v>1270</v>
      </c>
      <c r="C68" s="65"/>
      <c r="D68" s="65"/>
      <c r="E68" s="65"/>
      <c r="F68" s="280"/>
    </row>
    <row r="69" spans="1:6" ht="15">
      <c r="A69" s="1161" t="s">
        <v>462</v>
      </c>
      <c r="B69" s="828" t="s">
        <v>1271</v>
      </c>
      <c r="C69" s="65"/>
      <c r="D69" s="65"/>
      <c r="E69" s="65"/>
      <c r="F69" s="280"/>
    </row>
    <row r="70" spans="1:6" ht="15">
      <c r="A70" s="1941">
        <v>9</v>
      </c>
      <c r="B70" s="99" t="s">
        <v>26</v>
      </c>
      <c r="C70" s="73"/>
      <c r="D70" s="73"/>
      <c r="E70" s="73"/>
      <c r="F70" s="277">
        <f>SUM(F67:F69)</f>
        <v>0</v>
      </c>
    </row>
    <row r="71" spans="1:6" ht="15">
      <c r="A71" s="86"/>
      <c r="B71" s="99" t="s">
        <v>401</v>
      </c>
      <c r="C71" s="73"/>
      <c r="D71" s="73"/>
      <c r="E71" s="73"/>
      <c r="F71" s="277">
        <f>F70*0.2</f>
        <v>0</v>
      </c>
    </row>
    <row r="72" spans="1:6" ht="15.75" thickBot="1">
      <c r="A72" s="87"/>
      <c r="B72" s="100" t="s">
        <v>31</v>
      </c>
      <c r="C72" s="75"/>
      <c r="D72" s="75"/>
      <c r="E72" s="75"/>
      <c r="F72" s="278">
        <f>F70+F71</f>
        <v>0</v>
      </c>
    </row>
    <row r="75" spans="1:6" ht="15.75">
      <c r="B75" s="912"/>
      <c r="C75" s="2291"/>
      <c r="D75" s="2291"/>
      <c r="E75" s="2292"/>
      <c r="F75" s="2292"/>
    </row>
    <row r="76" spans="1:6">
      <c r="B76" s="1914" t="s">
        <v>126</v>
      </c>
      <c r="C76" s="2293" t="s">
        <v>124</v>
      </c>
      <c r="D76" s="2293"/>
      <c r="E76" s="2294" t="s">
        <v>127</v>
      </c>
      <c r="F76" s="2294"/>
    </row>
  </sheetData>
  <mergeCells count="35">
    <mergeCell ref="C75:D75"/>
    <mergeCell ref="E75:F75"/>
    <mergeCell ref="C76:D76"/>
    <mergeCell ref="E76:F76"/>
    <mergeCell ref="A54:F54"/>
    <mergeCell ref="A56:B56"/>
    <mergeCell ref="C56:F56"/>
    <mergeCell ref="A57:B57"/>
    <mergeCell ref="C57:F57"/>
    <mergeCell ref="A58:B58"/>
    <mergeCell ref="A53:F53"/>
    <mergeCell ref="A28:F28"/>
    <mergeCell ref="A29:F29"/>
    <mergeCell ref="A31:B31"/>
    <mergeCell ref="C31:F31"/>
    <mergeCell ref="A32:B32"/>
    <mergeCell ref="C32:F32"/>
    <mergeCell ref="A33:B33"/>
    <mergeCell ref="C50:D50"/>
    <mergeCell ref="E50:F50"/>
    <mergeCell ref="C51:D51"/>
    <mergeCell ref="E51:F51"/>
    <mergeCell ref="D27:F27"/>
    <mergeCell ref="D1:F1"/>
    <mergeCell ref="A2:F2"/>
    <mergeCell ref="A3:F3"/>
    <mergeCell ref="A5:B5"/>
    <mergeCell ref="C5:F5"/>
    <mergeCell ref="A6:B6"/>
    <mergeCell ref="C6:F6"/>
    <mergeCell ref="A7:B7"/>
    <mergeCell ref="C24:D24"/>
    <mergeCell ref="E24:F24"/>
    <mergeCell ref="C25:D25"/>
    <mergeCell ref="E25:F2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T119"/>
  <sheetViews>
    <sheetView topLeftCell="B40" zoomScale="80" zoomScaleNormal="80" workbookViewId="0">
      <selection activeCell="G45" sqref="G45"/>
    </sheetView>
  </sheetViews>
  <sheetFormatPr defaultColWidth="9.140625" defaultRowHeight="12.75"/>
  <cols>
    <col min="1" max="1" width="7.7109375" style="42" customWidth="1"/>
    <col min="2" max="2" width="42.28515625" style="42" customWidth="1"/>
    <col min="3" max="3" width="8.85546875" style="43" customWidth="1"/>
    <col min="4" max="4" width="10.7109375" style="43" customWidth="1"/>
    <col min="5" max="5" width="8.85546875" style="43" customWidth="1"/>
    <col min="6" max="6" width="11.85546875" style="43" customWidth="1"/>
    <col min="7" max="7" width="10.28515625" style="43" customWidth="1"/>
    <col min="8" max="8" width="9.7109375" style="43" customWidth="1"/>
    <col min="9" max="10" width="9.5703125" style="43" customWidth="1"/>
    <col min="11" max="11" width="10.28515625" style="43" customWidth="1"/>
    <col min="12" max="12" width="12.5703125" style="42" customWidth="1"/>
    <col min="13" max="13" width="14.28515625" style="43" bestFit="1" customWidth="1"/>
    <col min="14" max="14" width="12.140625" style="42" bestFit="1" customWidth="1"/>
    <col min="15" max="15" width="11.28515625" style="42" customWidth="1"/>
    <col min="16" max="16" width="8" style="54" customWidth="1"/>
    <col min="17" max="17" width="15.5703125" style="43" bestFit="1" customWidth="1"/>
    <col min="18" max="18" width="13.28515625" style="43" hidden="1" customWidth="1"/>
    <col min="19" max="19" width="15.140625" style="43" customWidth="1"/>
    <col min="20" max="20" width="19.28515625" style="44" customWidth="1"/>
    <col min="21" max="21" width="9" style="44" customWidth="1"/>
    <col min="22" max="22" width="15.140625" style="44" customWidth="1"/>
    <col min="23" max="16384" width="9.140625" style="44"/>
  </cols>
  <sheetData>
    <row r="1" spans="1:20" s="425" customFormat="1" ht="15.75">
      <c r="A1" s="423"/>
      <c r="B1" s="423"/>
      <c r="C1" s="424"/>
      <c r="D1" s="424"/>
      <c r="E1" s="424"/>
      <c r="F1" s="424"/>
      <c r="G1" s="424"/>
      <c r="H1" s="423"/>
      <c r="I1" s="424"/>
      <c r="J1" s="423"/>
      <c r="L1" s="756"/>
      <c r="M1" s="756"/>
      <c r="N1" s="756"/>
      <c r="O1" s="756"/>
      <c r="P1" s="756"/>
      <c r="R1" s="756" t="s">
        <v>354</v>
      </c>
    </row>
    <row r="2" spans="1:20" s="425" customFormat="1" ht="15.75">
      <c r="B2" s="2295" t="s">
        <v>338</v>
      </c>
      <c r="C2" s="2295"/>
      <c r="D2" s="2295"/>
      <c r="E2" s="2295"/>
      <c r="F2" s="2295"/>
      <c r="G2" s="2295"/>
      <c r="H2" s="2295"/>
      <c r="I2" s="2295"/>
      <c r="J2" s="2295"/>
      <c r="K2" s="2295"/>
      <c r="L2" s="2295"/>
      <c r="M2" s="2295"/>
      <c r="N2" s="2295"/>
      <c r="O2" s="2295"/>
      <c r="P2" s="2295"/>
      <c r="Q2" s="2295"/>
      <c r="R2" s="2295"/>
      <c r="S2" s="2295"/>
    </row>
    <row r="3" spans="1:20" s="425" customFormat="1" ht="15.75">
      <c r="B3" s="2306" t="s">
        <v>416</v>
      </c>
      <c r="C3" s="2306"/>
      <c r="D3" s="2306"/>
      <c r="E3" s="2306"/>
      <c r="F3" s="2306"/>
      <c r="G3" s="2306"/>
      <c r="H3" s="2306"/>
      <c r="I3" s="2306"/>
      <c r="J3" s="2306"/>
      <c r="K3" s="2306"/>
      <c r="L3" s="2306"/>
      <c r="M3" s="2306"/>
      <c r="N3" s="2306"/>
      <c r="O3" s="2306"/>
      <c r="P3" s="2306"/>
      <c r="Q3" s="2306"/>
      <c r="R3" s="2306"/>
      <c r="S3" s="2306"/>
    </row>
    <row r="4" spans="1:20" s="425" customFormat="1" ht="16.5" thickBot="1">
      <c r="B4" s="2295"/>
      <c r="C4" s="2295"/>
      <c r="D4" s="2295"/>
      <c r="E4" s="2295"/>
      <c r="F4" s="2295"/>
      <c r="G4" s="2295"/>
      <c r="H4" s="2295"/>
      <c r="I4" s="2295"/>
      <c r="J4" s="2295"/>
      <c r="K4" s="426"/>
      <c r="L4" s="427"/>
      <c r="M4" s="428" t="s">
        <v>54</v>
      </c>
      <c r="N4" s="428"/>
      <c r="O4" s="428"/>
    </row>
    <row r="5" spans="1:20" s="500" customFormat="1" ht="16.899999999999999" customHeight="1" thickTop="1" thickBot="1">
      <c r="B5" s="755" t="s">
        <v>585</v>
      </c>
      <c r="C5" s="501"/>
      <c r="D5" s="754"/>
      <c r="E5" s="501"/>
      <c r="F5" s="501"/>
      <c r="G5" s="504"/>
      <c r="H5" s="2299" t="s">
        <v>586</v>
      </c>
      <c r="I5" s="2300"/>
      <c r="J5" s="504"/>
      <c r="K5" s="2299"/>
      <c r="L5" s="2300"/>
      <c r="M5" s="504" t="s">
        <v>317</v>
      </c>
      <c r="N5" s="1135"/>
      <c r="O5" s="1249"/>
      <c r="P5" s="1250"/>
      <c r="Q5" s="1251"/>
      <c r="R5" s="1250"/>
      <c r="S5" s="1252"/>
      <c r="T5" s="1252"/>
    </row>
    <row r="6" spans="1:20" s="500" customFormat="1" ht="31.15" customHeight="1" thickTop="1" thickBot="1">
      <c r="B6" s="755" t="s">
        <v>587</v>
      </c>
      <c r="C6" s="501"/>
      <c r="D6" s="502"/>
      <c r="E6" s="503"/>
      <c r="F6" s="503"/>
      <c r="G6" s="504"/>
      <c r="H6" s="2299"/>
      <c r="I6" s="2300"/>
      <c r="J6" s="504"/>
      <c r="K6" s="2299"/>
      <c r="L6" s="2300"/>
      <c r="M6" s="504" t="s">
        <v>317</v>
      </c>
      <c r="N6" s="1135"/>
      <c r="O6" s="1249"/>
      <c r="P6" s="1250"/>
      <c r="Q6" s="1251"/>
      <c r="R6" s="1250"/>
      <c r="S6" s="1252"/>
      <c r="T6" s="1252"/>
    </row>
    <row r="7" spans="1:20" s="391" customFormat="1" ht="17.25" thickTop="1" thickBot="1">
      <c r="A7" s="390"/>
      <c r="B7" s="755"/>
      <c r="C7" s="501"/>
      <c r="D7" s="502"/>
      <c r="E7" s="503"/>
      <c r="F7" s="503"/>
      <c r="G7" s="504"/>
      <c r="H7" s="2299" t="s">
        <v>586</v>
      </c>
      <c r="I7" s="2300"/>
      <c r="J7" s="504"/>
      <c r="K7" s="2299">
        <f>H6</f>
        <v>0</v>
      </c>
      <c r="L7" s="2300"/>
      <c r="M7" s="504"/>
      <c r="N7" s="1135"/>
      <c r="O7" s="2307"/>
      <c r="P7" s="2307"/>
      <c r="Q7" s="2307"/>
      <c r="R7" s="2307"/>
      <c r="S7" s="2307"/>
      <c r="T7" s="2307"/>
    </row>
    <row r="8" spans="1:20" ht="14.25" thickTop="1" thickBot="1">
      <c r="A8" s="44"/>
      <c r="B8" s="48"/>
      <c r="C8" s="49"/>
      <c r="D8" s="49"/>
      <c r="E8" s="49"/>
      <c r="F8" s="49"/>
      <c r="G8" s="49"/>
      <c r="H8" s="49"/>
      <c r="I8" s="49"/>
      <c r="J8" s="49"/>
      <c r="K8" s="49"/>
      <c r="L8" s="50"/>
      <c r="M8" s="51"/>
      <c r="N8" s="1253"/>
      <c r="O8" s="1253"/>
      <c r="P8" s="1254"/>
      <c r="Q8" s="1255"/>
      <c r="R8" s="1255"/>
      <c r="S8" s="1256"/>
      <c r="T8" s="434"/>
    </row>
    <row r="9" spans="1:20" s="52" customFormat="1" ht="58.7" customHeight="1">
      <c r="A9" s="2301" t="s">
        <v>0</v>
      </c>
      <c r="B9" s="2303" t="s">
        <v>55</v>
      </c>
      <c r="C9" s="30" t="s">
        <v>56</v>
      </c>
      <c r="D9" s="30" t="s">
        <v>167</v>
      </c>
      <c r="E9" s="30" t="s">
        <v>168</v>
      </c>
      <c r="F9" s="2305" t="s">
        <v>170</v>
      </c>
      <c r="G9" s="2305"/>
      <c r="H9" s="2305" t="s">
        <v>171</v>
      </c>
      <c r="I9" s="2305"/>
      <c r="J9" s="30" t="s">
        <v>175</v>
      </c>
      <c r="K9" s="30" t="s">
        <v>100</v>
      </c>
      <c r="L9" s="29" t="s">
        <v>158</v>
      </c>
      <c r="M9" s="30" t="s">
        <v>57</v>
      </c>
      <c r="N9" s="29" t="s">
        <v>169</v>
      </c>
      <c r="O9" s="29" t="s">
        <v>71</v>
      </c>
      <c r="P9" s="31" t="s">
        <v>58</v>
      </c>
      <c r="Q9" s="30" t="s">
        <v>59</v>
      </c>
      <c r="R9" s="30" t="s">
        <v>60</v>
      </c>
      <c r="S9" s="32" t="s">
        <v>61</v>
      </c>
    </row>
    <row r="10" spans="1:20" s="52" customFormat="1" ht="15">
      <c r="A10" s="2302"/>
      <c r="B10" s="2304"/>
      <c r="C10" s="34" t="s">
        <v>63</v>
      </c>
      <c r="D10" s="34" t="s">
        <v>160</v>
      </c>
      <c r="E10" s="34" t="s">
        <v>66</v>
      </c>
      <c r="F10" s="34" t="s">
        <v>381</v>
      </c>
      <c r="G10" s="34" t="s">
        <v>102</v>
      </c>
      <c r="H10" s="34" t="s">
        <v>101</v>
      </c>
      <c r="I10" s="34" t="s">
        <v>102</v>
      </c>
      <c r="J10" s="34" t="s">
        <v>161</v>
      </c>
      <c r="K10" s="34" t="s">
        <v>161</v>
      </c>
      <c r="L10" s="33" t="s">
        <v>64</v>
      </c>
      <c r="M10" s="34" t="s">
        <v>65</v>
      </c>
      <c r="N10" s="35" t="s">
        <v>66</v>
      </c>
      <c r="O10" s="35" t="s">
        <v>66</v>
      </c>
      <c r="P10" s="36" t="s">
        <v>65</v>
      </c>
      <c r="Q10" s="37" t="s">
        <v>65</v>
      </c>
      <c r="R10" s="37" t="s">
        <v>65</v>
      </c>
      <c r="S10" s="38" t="s">
        <v>65</v>
      </c>
    </row>
    <row r="11" spans="1:20" ht="15">
      <c r="A11" s="41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40" t="s">
        <v>91</v>
      </c>
      <c r="H11" s="40" t="s">
        <v>92</v>
      </c>
      <c r="I11" s="40" t="s">
        <v>93</v>
      </c>
      <c r="J11" s="39">
        <v>10</v>
      </c>
      <c r="K11" s="40" t="s">
        <v>94</v>
      </c>
      <c r="L11" s="39">
        <v>12</v>
      </c>
      <c r="M11" s="40" t="s">
        <v>95</v>
      </c>
      <c r="N11" s="39">
        <v>14</v>
      </c>
      <c r="O11" s="40" t="s">
        <v>96</v>
      </c>
      <c r="P11" s="40">
        <v>16</v>
      </c>
      <c r="Q11" s="40" t="s">
        <v>97</v>
      </c>
      <c r="R11" s="40" t="s">
        <v>97</v>
      </c>
      <c r="S11" s="140" t="s">
        <v>99</v>
      </c>
    </row>
    <row r="12" spans="1:20" s="52" customFormat="1" ht="15.75">
      <c r="A12" s="832">
        <v>1</v>
      </c>
      <c r="B12" s="833" t="s">
        <v>607</v>
      </c>
      <c r="C12" s="834"/>
      <c r="D12" s="835"/>
      <c r="E12" s="835"/>
      <c r="F12" s="835"/>
      <c r="G12" s="836"/>
      <c r="H12" s="836"/>
      <c r="I12" s="836"/>
      <c r="J12" s="835"/>
      <c r="K12" s="836"/>
      <c r="L12" s="835"/>
      <c r="M12" s="836"/>
      <c r="N12" s="835"/>
      <c r="O12" s="836"/>
      <c r="P12" s="836"/>
      <c r="Q12" s="836"/>
      <c r="R12" s="836"/>
      <c r="S12" s="837"/>
    </row>
    <row r="13" spans="1:20" s="52" customFormat="1" ht="15.75">
      <c r="A13" s="838" t="s">
        <v>421</v>
      </c>
      <c r="B13" s="839"/>
      <c r="C13" s="840"/>
      <c r="D13" s="835"/>
      <c r="E13" s="835"/>
      <c r="F13" s="840"/>
      <c r="G13" s="1292"/>
      <c r="H13" s="840"/>
      <c r="I13" s="840"/>
      <c r="J13" s="841"/>
      <c r="K13" s="840"/>
      <c r="L13" s="842"/>
      <c r="M13" s="842"/>
      <c r="N13" s="842"/>
      <c r="O13" s="842"/>
      <c r="P13" s="842"/>
      <c r="Q13" s="842"/>
      <c r="R13" s="843"/>
      <c r="S13" s="844">
        <f t="shared" ref="S13:S23" si="0">M13+Q13</f>
        <v>0</v>
      </c>
    </row>
    <row r="14" spans="1:20" s="52" customFormat="1" ht="15.75">
      <c r="A14" s="832" t="s">
        <v>422</v>
      </c>
      <c r="B14" s="839"/>
      <c r="C14" s="845"/>
      <c r="D14" s="835"/>
      <c r="E14" s="835"/>
      <c r="F14" s="840"/>
      <c r="G14" s="1292"/>
      <c r="H14" s="840"/>
      <c r="I14" s="840"/>
      <c r="J14" s="841"/>
      <c r="K14" s="840"/>
      <c r="L14" s="842"/>
      <c r="M14" s="842"/>
      <c r="N14" s="842"/>
      <c r="O14" s="842"/>
      <c r="P14" s="842"/>
      <c r="Q14" s="842"/>
      <c r="R14" s="843"/>
      <c r="S14" s="844">
        <f t="shared" si="0"/>
        <v>0</v>
      </c>
    </row>
    <row r="15" spans="1:20" s="52" customFormat="1" ht="15.75">
      <c r="A15" s="832" t="s">
        <v>380</v>
      </c>
      <c r="B15" s="846"/>
      <c r="C15" s="840"/>
      <c r="D15" s="835"/>
      <c r="E15" s="835"/>
      <c r="F15" s="840"/>
      <c r="G15" s="1292"/>
      <c r="H15" s="840"/>
      <c r="I15" s="840"/>
      <c r="J15" s="841"/>
      <c r="K15" s="840"/>
      <c r="L15" s="842"/>
      <c r="M15" s="842"/>
      <c r="N15" s="842"/>
      <c r="O15" s="842"/>
      <c r="P15" s="842"/>
      <c r="Q15" s="842"/>
      <c r="R15" s="843"/>
      <c r="S15" s="844">
        <f t="shared" si="0"/>
        <v>0</v>
      </c>
    </row>
    <row r="16" spans="1:20" s="52" customFormat="1" ht="15.75">
      <c r="A16" s="832" t="s">
        <v>610</v>
      </c>
      <c r="B16" s="846"/>
      <c r="C16" s="840"/>
      <c r="D16" s="835"/>
      <c r="E16" s="835"/>
      <c r="F16" s="840"/>
      <c r="G16" s="1292"/>
      <c r="H16" s="840"/>
      <c r="I16" s="840"/>
      <c r="J16" s="841"/>
      <c r="K16" s="840"/>
      <c r="L16" s="842"/>
      <c r="M16" s="842"/>
      <c r="N16" s="842"/>
      <c r="O16" s="842"/>
      <c r="P16" s="842"/>
      <c r="Q16" s="842"/>
      <c r="R16" s="843"/>
      <c r="S16" s="844">
        <f t="shared" ref="S16" si="1">M16+Q16</f>
        <v>0</v>
      </c>
    </row>
    <row r="17" spans="1:19" s="52" customFormat="1" ht="15.75">
      <c r="A17" s="832" t="s">
        <v>612</v>
      </c>
      <c r="B17" s="846"/>
      <c r="C17" s="845"/>
      <c r="D17" s="835"/>
      <c r="E17" s="835"/>
      <c r="F17" s="840"/>
      <c r="G17" s="1292"/>
      <c r="H17" s="840"/>
      <c r="I17" s="840"/>
      <c r="J17" s="841"/>
      <c r="K17" s="840"/>
      <c r="L17" s="842"/>
      <c r="M17" s="842"/>
      <c r="N17" s="842"/>
      <c r="O17" s="842"/>
      <c r="P17" s="842"/>
      <c r="Q17" s="842"/>
      <c r="R17" s="843"/>
      <c r="S17" s="844">
        <f t="shared" si="0"/>
        <v>0</v>
      </c>
    </row>
    <row r="18" spans="1:19" s="431" customFormat="1" ht="15.75">
      <c r="A18" s="832" t="s">
        <v>614</v>
      </c>
      <c r="B18" s="846"/>
      <c r="C18" s="845"/>
      <c r="D18" s="835"/>
      <c r="E18" s="835"/>
      <c r="F18" s="840"/>
      <c r="G18" s="1292"/>
      <c r="H18" s="840"/>
      <c r="I18" s="840"/>
      <c r="J18" s="841"/>
      <c r="K18" s="840"/>
      <c r="L18" s="842"/>
      <c r="M18" s="842"/>
      <c r="N18" s="842"/>
      <c r="O18" s="842"/>
      <c r="P18" s="842"/>
      <c r="Q18" s="842"/>
      <c r="R18" s="843"/>
      <c r="S18" s="844">
        <f t="shared" si="0"/>
        <v>0</v>
      </c>
    </row>
    <row r="19" spans="1:19" s="431" customFormat="1" ht="15.75">
      <c r="A19" s="832" t="s">
        <v>616</v>
      </c>
      <c r="B19" s="846"/>
      <c r="C19" s="845"/>
      <c r="D19" s="835"/>
      <c r="E19" s="835"/>
      <c r="F19" s="840"/>
      <c r="G19" s="1292"/>
      <c r="H19" s="840"/>
      <c r="I19" s="840"/>
      <c r="J19" s="841"/>
      <c r="K19" s="840"/>
      <c r="L19" s="842"/>
      <c r="M19" s="842"/>
      <c r="N19" s="842"/>
      <c r="O19" s="842"/>
      <c r="P19" s="842"/>
      <c r="Q19" s="842"/>
      <c r="R19" s="843"/>
      <c r="S19" s="844">
        <f t="shared" si="0"/>
        <v>0</v>
      </c>
    </row>
    <row r="20" spans="1:19" s="431" customFormat="1" ht="15.75">
      <c r="A20" s="847" t="s">
        <v>618</v>
      </c>
      <c r="B20" s="846"/>
      <c r="C20" s="845"/>
      <c r="D20" s="835"/>
      <c r="E20" s="835"/>
      <c r="F20" s="840"/>
      <c r="G20" s="1292"/>
      <c r="H20" s="840"/>
      <c r="I20" s="840"/>
      <c r="J20" s="841"/>
      <c r="K20" s="840"/>
      <c r="L20" s="842"/>
      <c r="M20" s="842"/>
      <c r="N20" s="842"/>
      <c r="O20" s="842"/>
      <c r="P20" s="842"/>
      <c r="Q20" s="842"/>
      <c r="R20" s="843"/>
      <c r="S20" s="844">
        <f t="shared" si="0"/>
        <v>0</v>
      </c>
    </row>
    <row r="21" spans="1:19" s="52" customFormat="1" ht="15.75">
      <c r="A21" s="847" t="s">
        <v>620</v>
      </c>
      <c r="B21" s="846"/>
      <c r="C21" s="848"/>
      <c r="D21" s="848"/>
      <c r="E21" s="835"/>
      <c r="F21" s="840"/>
      <c r="G21" s="1292"/>
      <c r="H21" s="840"/>
      <c r="I21" s="840"/>
      <c r="J21" s="841"/>
      <c r="K21" s="840"/>
      <c r="L21" s="842"/>
      <c r="M21" s="842"/>
      <c r="N21" s="842"/>
      <c r="O21" s="842"/>
      <c r="P21" s="842"/>
      <c r="Q21" s="842"/>
      <c r="R21" s="843"/>
      <c r="S21" s="844">
        <f t="shared" si="0"/>
        <v>0</v>
      </c>
    </row>
    <row r="22" spans="1:19" s="52" customFormat="1" ht="15.75">
      <c r="A22" s="832" t="s">
        <v>622</v>
      </c>
      <c r="B22" s="849"/>
      <c r="C22" s="845"/>
      <c r="D22" s="848"/>
      <c r="E22" s="835"/>
      <c r="F22" s="840"/>
      <c r="G22" s="1292"/>
      <c r="H22" s="840"/>
      <c r="I22" s="840"/>
      <c r="J22" s="841"/>
      <c r="K22" s="840"/>
      <c r="L22" s="842"/>
      <c r="M22" s="842"/>
      <c r="N22" s="842"/>
      <c r="O22" s="842"/>
      <c r="P22" s="842"/>
      <c r="Q22" s="842"/>
      <c r="R22" s="843"/>
      <c r="S22" s="844">
        <f>M22+Q22</f>
        <v>0</v>
      </c>
    </row>
    <row r="23" spans="1:19" s="52" customFormat="1" ht="15.75">
      <c r="A23" s="832" t="s">
        <v>1191</v>
      </c>
      <c r="B23" s="849"/>
      <c r="C23" s="845"/>
      <c r="D23" s="835"/>
      <c r="E23" s="835"/>
      <c r="F23" s="840"/>
      <c r="G23" s="1292"/>
      <c r="H23" s="840"/>
      <c r="I23" s="840"/>
      <c r="J23" s="841"/>
      <c r="K23" s="840"/>
      <c r="L23" s="842"/>
      <c r="M23" s="842"/>
      <c r="N23" s="842"/>
      <c r="O23" s="842"/>
      <c r="P23" s="842"/>
      <c r="Q23" s="842"/>
      <c r="R23" s="843"/>
      <c r="S23" s="844">
        <f t="shared" si="0"/>
        <v>0</v>
      </c>
    </row>
    <row r="24" spans="1:19" s="52" customFormat="1" ht="15.75">
      <c r="A24" s="850">
        <v>2</v>
      </c>
      <c r="B24" s="833" t="s">
        <v>647</v>
      </c>
      <c r="C24" s="848"/>
      <c r="D24" s="848"/>
      <c r="E24" s="848"/>
      <c r="F24" s="848"/>
      <c r="G24" s="848"/>
      <c r="H24" s="848"/>
      <c r="I24" s="848"/>
      <c r="J24" s="841"/>
      <c r="K24" s="848"/>
      <c r="L24" s="851"/>
      <c r="M24" s="848"/>
      <c r="N24" s="852"/>
      <c r="O24" s="852"/>
      <c r="P24" s="853"/>
      <c r="Q24" s="848"/>
      <c r="R24" s="843"/>
      <c r="S24" s="854"/>
    </row>
    <row r="25" spans="1:19" s="52" customFormat="1" ht="15.75">
      <c r="A25" s="847" t="s">
        <v>7</v>
      </c>
      <c r="B25" s="839"/>
      <c r="C25" s="840"/>
      <c r="D25" s="848"/>
      <c r="E25" s="835"/>
      <c r="F25" s="1292"/>
      <c r="G25" s="1292"/>
      <c r="H25" s="855"/>
      <c r="I25" s="855"/>
      <c r="J25" s="841"/>
      <c r="K25" s="840"/>
      <c r="L25" s="842"/>
      <c r="M25" s="842"/>
      <c r="N25" s="842"/>
      <c r="O25" s="842"/>
      <c r="P25" s="842"/>
      <c r="Q25" s="842"/>
      <c r="R25" s="843"/>
      <c r="S25" s="844">
        <f>M25+Q25</f>
        <v>0</v>
      </c>
    </row>
    <row r="26" spans="1:19" s="52" customFormat="1" ht="15.75">
      <c r="A26" s="847">
        <v>3</v>
      </c>
      <c r="B26" s="833" t="s">
        <v>1267</v>
      </c>
      <c r="C26" s="848"/>
      <c r="D26" s="848"/>
      <c r="E26" s="848"/>
      <c r="F26" s="848"/>
      <c r="G26" s="848"/>
      <c r="H26" s="856"/>
      <c r="I26" s="856"/>
      <c r="J26" s="841"/>
      <c r="K26" s="848"/>
      <c r="L26" s="857"/>
      <c r="M26" s="848"/>
      <c r="N26" s="842"/>
      <c r="O26" s="842"/>
      <c r="P26" s="857"/>
      <c r="Q26" s="842"/>
      <c r="R26" s="843"/>
      <c r="S26" s="844"/>
    </row>
    <row r="27" spans="1:19" s="52" customFormat="1" ht="15.75">
      <c r="A27" s="847" t="s">
        <v>120</v>
      </c>
      <c r="B27" s="846"/>
      <c r="C27" s="840"/>
      <c r="D27" s="848"/>
      <c r="E27" s="835"/>
      <c r="F27" s="1292"/>
      <c r="G27" s="1292"/>
      <c r="H27" s="855"/>
      <c r="I27" s="855"/>
      <c r="J27" s="841"/>
      <c r="K27" s="840"/>
      <c r="L27" s="842"/>
      <c r="M27" s="842"/>
      <c r="N27" s="842"/>
      <c r="O27" s="842"/>
      <c r="P27" s="842"/>
      <c r="Q27" s="842"/>
      <c r="R27" s="843"/>
      <c r="S27" s="844">
        <f t="shared" ref="S27:S41" si="2">M27+Q27</f>
        <v>0</v>
      </c>
    </row>
    <row r="28" spans="1:19" s="52" customFormat="1" ht="15.75">
      <c r="A28" s="847" t="s">
        <v>121</v>
      </c>
      <c r="B28" s="846"/>
      <c r="C28" s="840"/>
      <c r="D28" s="848"/>
      <c r="E28" s="835"/>
      <c r="F28" s="1292"/>
      <c r="G28" s="1292"/>
      <c r="H28" s="855"/>
      <c r="I28" s="855"/>
      <c r="J28" s="841"/>
      <c r="K28" s="840"/>
      <c r="L28" s="842"/>
      <c r="M28" s="842"/>
      <c r="N28" s="842"/>
      <c r="O28" s="842"/>
      <c r="P28" s="842"/>
      <c r="Q28" s="842"/>
      <c r="R28" s="843"/>
      <c r="S28" s="844">
        <f t="shared" si="2"/>
        <v>0</v>
      </c>
    </row>
    <row r="29" spans="1:19" s="52" customFormat="1" ht="15.75">
      <c r="A29" s="847" t="s">
        <v>122</v>
      </c>
      <c r="B29" s="846"/>
      <c r="C29" s="840"/>
      <c r="D29" s="848"/>
      <c r="E29" s="835"/>
      <c r="F29" s="1292"/>
      <c r="G29" s="1292"/>
      <c r="H29" s="855"/>
      <c r="I29" s="855"/>
      <c r="J29" s="841"/>
      <c r="K29" s="840"/>
      <c r="L29" s="842"/>
      <c r="M29" s="842"/>
      <c r="N29" s="842"/>
      <c r="O29" s="842"/>
      <c r="P29" s="842"/>
      <c r="Q29" s="842"/>
      <c r="R29" s="843"/>
      <c r="S29" s="844">
        <f t="shared" si="2"/>
        <v>0</v>
      </c>
    </row>
    <row r="30" spans="1:19" s="52" customFormat="1" ht="15.75">
      <c r="A30" s="847" t="s">
        <v>122</v>
      </c>
      <c r="B30" s="846"/>
      <c r="C30" s="840"/>
      <c r="D30" s="848"/>
      <c r="E30" s="835"/>
      <c r="F30" s="1292"/>
      <c r="G30" s="1292"/>
      <c r="H30" s="855"/>
      <c r="I30" s="855"/>
      <c r="J30" s="841"/>
      <c r="K30" s="840"/>
      <c r="L30" s="842"/>
      <c r="M30" s="842"/>
      <c r="N30" s="842"/>
      <c r="O30" s="842"/>
      <c r="P30" s="842"/>
      <c r="Q30" s="842"/>
      <c r="R30" s="843"/>
      <c r="S30" s="844">
        <f>M30+Q30</f>
        <v>0</v>
      </c>
    </row>
    <row r="31" spans="1:19" s="52" customFormat="1" ht="15.75">
      <c r="A31" s="847" t="s">
        <v>123</v>
      </c>
      <c r="B31" s="846"/>
      <c r="C31" s="845"/>
      <c r="D31" s="848"/>
      <c r="E31" s="835"/>
      <c r="F31" s="1292"/>
      <c r="G31" s="1292"/>
      <c r="H31" s="855"/>
      <c r="I31" s="855"/>
      <c r="J31" s="841"/>
      <c r="K31" s="840"/>
      <c r="L31" s="842"/>
      <c r="M31" s="842"/>
      <c r="N31" s="842"/>
      <c r="O31" s="842"/>
      <c r="P31" s="842"/>
      <c r="Q31" s="842"/>
      <c r="R31" s="843"/>
      <c r="S31" s="844">
        <f t="shared" si="2"/>
        <v>0</v>
      </c>
    </row>
    <row r="32" spans="1:19" s="52" customFormat="1" ht="15.75">
      <c r="A32" s="847" t="s">
        <v>122</v>
      </c>
      <c r="B32" s="846"/>
      <c r="C32" s="845"/>
      <c r="D32" s="848"/>
      <c r="E32" s="835"/>
      <c r="F32" s="1292"/>
      <c r="G32" s="1292"/>
      <c r="H32" s="855"/>
      <c r="I32" s="855"/>
      <c r="J32" s="841"/>
      <c r="K32" s="840"/>
      <c r="L32" s="842"/>
      <c r="M32" s="842"/>
      <c r="N32" s="842"/>
      <c r="O32" s="842"/>
      <c r="P32" s="842"/>
      <c r="Q32" s="842"/>
      <c r="R32" s="843"/>
      <c r="S32" s="844">
        <f t="shared" si="2"/>
        <v>0</v>
      </c>
    </row>
    <row r="33" spans="1:19" s="52" customFormat="1" ht="15.75">
      <c r="A33" s="847" t="s">
        <v>123</v>
      </c>
      <c r="B33" s="846"/>
      <c r="C33" s="845"/>
      <c r="D33" s="848"/>
      <c r="E33" s="835"/>
      <c r="F33" s="1292"/>
      <c r="G33" s="1292"/>
      <c r="H33" s="855"/>
      <c r="I33" s="855"/>
      <c r="J33" s="841"/>
      <c r="K33" s="840"/>
      <c r="L33" s="842"/>
      <c r="M33" s="842"/>
      <c r="N33" s="842"/>
      <c r="O33" s="842"/>
      <c r="P33" s="842"/>
      <c r="Q33" s="842"/>
      <c r="R33" s="843"/>
      <c r="S33" s="844">
        <f t="shared" si="2"/>
        <v>0</v>
      </c>
    </row>
    <row r="34" spans="1:19" s="52" customFormat="1" ht="15.75">
      <c r="A34" s="847" t="s">
        <v>302</v>
      </c>
      <c r="B34" s="846"/>
      <c r="C34" s="845"/>
      <c r="D34" s="848"/>
      <c r="E34" s="835"/>
      <c r="F34" s="1292"/>
      <c r="G34" s="1292"/>
      <c r="H34" s="855"/>
      <c r="I34" s="855"/>
      <c r="J34" s="841"/>
      <c r="K34" s="840"/>
      <c r="L34" s="842"/>
      <c r="M34" s="842"/>
      <c r="N34" s="842"/>
      <c r="O34" s="842"/>
      <c r="P34" s="842"/>
      <c r="Q34" s="842"/>
      <c r="R34" s="843"/>
      <c r="S34" s="844">
        <f t="shared" si="2"/>
        <v>0</v>
      </c>
    </row>
    <row r="35" spans="1:19" s="52" customFormat="1" ht="15.75">
      <c r="A35" s="847" t="s">
        <v>303</v>
      </c>
      <c r="B35" s="846"/>
      <c r="C35" s="845"/>
      <c r="D35" s="848"/>
      <c r="E35" s="835"/>
      <c r="F35" s="1292"/>
      <c r="G35" s="1292"/>
      <c r="H35" s="855"/>
      <c r="I35" s="855"/>
      <c r="J35" s="841"/>
      <c r="K35" s="840"/>
      <c r="L35" s="842"/>
      <c r="M35" s="842"/>
      <c r="N35" s="842"/>
      <c r="O35" s="842"/>
      <c r="P35" s="842"/>
      <c r="Q35" s="842"/>
      <c r="R35" s="843"/>
      <c r="S35" s="844">
        <f t="shared" si="2"/>
        <v>0</v>
      </c>
    </row>
    <row r="36" spans="1:19" s="52" customFormat="1" ht="15.75">
      <c r="A36" s="847" t="s">
        <v>625</v>
      </c>
      <c r="B36" s="839"/>
      <c r="C36" s="845"/>
      <c r="D36" s="848"/>
      <c r="E36" s="835"/>
      <c r="F36" s="1292"/>
      <c r="G36" s="1292"/>
      <c r="H36" s="855"/>
      <c r="I36" s="855"/>
      <c r="J36" s="841"/>
      <c r="K36" s="840"/>
      <c r="L36" s="842"/>
      <c r="M36" s="842"/>
      <c r="N36" s="842"/>
      <c r="O36" s="842"/>
      <c r="P36" s="842"/>
      <c r="Q36" s="842"/>
      <c r="R36" s="843"/>
      <c r="S36" s="844">
        <f>M36+Q36</f>
        <v>0</v>
      </c>
    </row>
    <row r="37" spans="1:19" s="52" customFormat="1" ht="15.75">
      <c r="A37" s="858"/>
      <c r="B37" s="859" t="s">
        <v>628</v>
      </c>
      <c r="C37" s="848"/>
      <c r="D37" s="848"/>
      <c r="E37" s="848"/>
      <c r="F37" s="848"/>
      <c r="G37" s="848"/>
      <c r="H37" s="856"/>
      <c r="I37" s="856"/>
      <c r="J37" s="848"/>
      <c r="K37" s="848"/>
      <c r="L37" s="857"/>
      <c r="M37" s="848"/>
      <c r="N37" s="860"/>
      <c r="O37" s="861"/>
      <c r="P37" s="857"/>
      <c r="Q37" s="848"/>
      <c r="R37" s="843"/>
      <c r="S37" s="862">
        <f>SUM(S13:S36)</f>
        <v>0</v>
      </c>
    </row>
    <row r="38" spans="1:19" s="52" customFormat="1" ht="15.75">
      <c r="A38" s="847">
        <v>4</v>
      </c>
      <c r="B38" s="863"/>
      <c r="C38" s="845"/>
      <c r="D38" s="848"/>
      <c r="E38" s="848"/>
      <c r="F38" s="848"/>
      <c r="G38" s="848"/>
      <c r="H38" s="848"/>
      <c r="I38" s="848"/>
      <c r="J38" s="848"/>
      <c r="K38" s="840"/>
      <c r="L38" s="842"/>
      <c r="M38" s="842"/>
      <c r="N38" s="860"/>
      <c r="O38" s="861"/>
      <c r="P38" s="857"/>
      <c r="Q38" s="848"/>
      <c r="R38" s="843"/>
      <c r="S38" s="844">
        <f t="shared" si="2"/>
        <v>0</v>
      </c>
    </row>
    <row r="39" spans="1:19" s="52" customFormat="1" ht="15.75">
      <c r="A39" s="847">
        <v>6</v>
      </c>
      <c r="B39" s="863"/>
      <c r="C39" s="845"/>
      <c r="D39" s="848"/>
      <c r="E39" s="848"/>
      <c r="F39" s="848"/>
      <c r="G39" s="848"/>
      <c r="H39" s="848"/>
      <c r="I39" s="848"/>
      <c r="J39" s="848"/>
      <c r="K39" s="840"/>
      <c r="L39" s="842"/>
      <c r="M39" s="842"/>
      <c r="N39" s="860"/>
      <c r="O39" s="861"/>
      <c r="P39" s="857"/>
      <c r="Q39" s="848"/>
      <c r="R39" s="843"/>
      <c r="S39" s="844">
        <f t="shared" si="2"/>
        <v>0</v>
      </c>
    </row>
    <row r="40" spans="1:19" s="52" customFormat="1" ht="15.75">
      <c r="A40" s="847">
        <v>7</v>
      </c>
      <c r="B40" s="863"/>
      <c r="C40" s="845"/>
      <c r="D40" s="848"/>
      <c r="E40" s="848"/>
      <c r="F40" s="848"/>
      <c r="G40" s="848"/>
      <c r="H40" s="848"/>
      <c r="I40" s="848"/>
      <c r="J40" s="848"/>
      <c r="K40" s="840"/>
      <c r="L40" s="842"/>
      <c r="M40" s="842"/>
      <c r="N40" s="860"/>
      <c r="O40" s="861"/>
      <c r="P40" s="857"/>
      <c r="Q40" s="848"/>
      <c r="R40" s="843"/>
      <c r="S40" s="844">
        <f t="shared" si="2"/>
        <v>0</v>
      </c>
    </row>
    <row r="41" spans="1:19" s="52" customFormat="1" ht="15.75">
      <c r="A41" s="847">
        <v>8</v>
      </c>
      <c r="B41" s="864"/>
      <c r="C41" s="845"/>
      <c r="D41" s="848"/>
      <c r="E41" s="848"/>
      <c r="F41" s="848"/>
      <c r="G41" s="848"/>
      <c r="H41" s="848"/>
      <c r="I41" s="848"/>
      <c r="J41" s="848"/>
      <c r="K41" s="840"/>
      <c r="L41" s="842"/>
      <c r="M41" s="842"/>
      <c r="N41" s="860"/>
      <c r="O41" s="861"/>
      <c r="P41" s="857"/>
      <c r="Q41" s="848"/>
      <c r="R41" s="843"/>
      <c r="S41" s="844">
        <f t="shared" si="2"/>
        <v>0</v>
      </c>
    </row>
    <row r="42" spans="1:19" s="52" customFormat="1" ht="15.75">
      <c r="A42" s="847">
        <v>9</v>
      </c>
      <c r="B42" s="839"/>
      <c r="C42" s="845"/>
      <c r="D42" s="848"/>
      <c r="E42" s="848"/>
      <c r="F42" s="848"/>
      <c r="G42" s="848"/>
      <c r="H42" s="848"/>
      <c r="I42" s="848"/>
      <c r="J42" s="848"/>
      <c r="K42" s="840"/>
      <c r="L42" s="842"/>
      <c r="M42" s="842"/>
      <c r="N42" s="860"/>
      <c r="O42" s="861"/>
      <c r="P42" s="857"/>
      <c r="Q42" s="848"/>
      <c r="R42" s="843"/>
      <c r="S42" s="844">
        <f>M42+Q42</f>
        <v>0</v>
      </c>
    </row>
    <row r="43" spans="1:19" s="52" customFormat="1" ht="15.75">
      <c r="A43" s="858">
        <v>10</v>
      </c>
      <c r="B43" s="865" t="s">
        <v>631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51"/>
      <c r="M43" s="848"/>
      <c r="N43" s="860"/>
      <c r="O43" s="861"/>
      <c r="P43" s="857"/>
      <c r="Q43" s="848"/>
      <c r="R43" s="843"/>
      <c r="S43" s="862">
        <f>SUM(S38:S42)</f>
        <v>0</v>
      </c>
    </row>
    <row r="44" spans="1:19" s="52" customFormat="1" ht="15.75">
      <c r="A44" s="858">
        <v>11</v>
      </c>
      <c r="B44" s="866" t="s">
        <v>632</v>
      </c>
      <c r="C44" s="848"/>
      <c r="D44" s="848"/>
      <c r="E44" s="848"/>
      <c r="F44" s="848"/>
      <c r="G44" s="848"/>
      <c r="H44" s="848"/>
      <c r="I44" s="848"/>
      <c r="J44" s="848"/>
      <c r="K44" s="848"/>
      <c r="L44" s="851"/>
      <c r="M44" s="848"/>
      <c r="N44" s="860"/>
      <c r="O44" s="861"/>
      <c r="P44" s="857"/>
      <c r="Q44" s="848"/>
      <c r="R44" s="843"/>
      <c r="S44" s="862"/>
    </row>
    <row r="45" spans="1:19" s="52" customFormat="1" ht="15.75">
      <c r="A45" s="867" t="s">
        <v>633</v>
      </c>
      <c r="B45" s="868"/>
      <c r="C45" s="845"/>
      <c r="D45" s="848"/>
      <c r="E45" s="848"/>
      <c r="F45" s="840"/>
      <c r="G45" s="1292"/>
      <c r="H45" s="840"/>
      <c r="I45" s="840"/>
      <c r="J45" s="841"/>
      <c r="K45" s="840"/>
      <c r="L45" s="842"/>
      <c r="M45" s="842"/>
      <c r="N45" s="842"/>
      <c r="O45" s="842"/>
      <c r="P45" s="842"/>
      <c r="Q45" s="842"/>
      <c r="R45" s="843"/>
      <c r="S45" s="844">
        <f t="shared" ref="S45:S54" si="3">M45+Q45</f>
        <v>0</v>
      </c>
    </row>
    <row r="46" spans="1:19" s="52" customFormat="1" ht="15.75">
      <c r="A46" s="867" t="s">
        <v>634</v>
      </c>
      <c r="B46" s="868"/>
      <c r="C46" s="845"/>
      <c r="D46" s="848"/>
      <c r="E46" s="848"/>
      <c r="F46" s="840"/>
      <c r="G46" s="1292"/>
      <c r="H46" s="840"/>
      <c r="I46" s="840"/>
      <c r="J46" s="841"/>
      <c r="K46" s="840"/>
      <c r="L46" s="842"/>
      <c r="M46" s="842"/>
      <c r="N46" s="842"/>
      <c r="O46" s="842"/>
      <c r="P46" s="842"/>
      <c r="Q46" s="842"/>
      <c r="R46" s="843"/>
      <c r="S46" s="844">
        <f t="shared" si="3"/>
        <v>0</v>
      </c>
    </row>
    <row r="47" spans="1:19" s="52" customFormat="1" ht="15.75">
      <c r="A47" s="867" t="s">
        <v>635</v>
      </c>
      <c r="B47" s="868"/>
      <c r="C47" s="845"/>
      <c r="D47" s="848"/>
      <c r="E47" s="848"/>
      <c r="F47" s="840"/>
      <c r="G47" s="1292"/>
      <c r="H47" s="840"/>
      <c r="I47" s="840"/>
      <c r="J47" s="841"/>
      <c r="K47" s="840"/>
      <c r="L47" s="842"/>
      <c r="M47" s="842"/>
      <c r="N47" s="842"/>
      <c r="O47" s="842"/>
      <c r="P47" s="842"/>
      <c r="Q47" s="842"/>
      <c r="R47" s="843"/>
      <c r="S47" s="844">
        <f t="shared" si="3"/>
        <v>0</v>
      </c>
    </row>
    <row r="48" spans="1:19" s="52" customFormat="1" ht="15.75">
      <c r="A48" s="867" t="s">
        <v>636</v>
      </c>
      <c r="B48" s="868"/>
      <c r="C48" s="845"/>
      <c r="D48" s="848"/>
      <c r="E48" s="848"/>
      <c r="F48" s="840"/>
      <c r="G48" s="1292"/>
      <c r="H48" s="840"/>
      <c r="I48" s="840"/>
      <c r="J48" s="848"/>
      <c r="K48" s="840"/>
      <c r="L48" s="842"/>
      <c r="M48" s="842"/>
      <c r="N48" s="842"/>
      <c r="O48" s="842"/>
      <c r="P48" s="842"/>
      <c r="Q48" s="842"/>
      <c r="R48" s="843"/>
      <c r="S48" s="844">
        <f t="shared" si="3"/>
        <v>0</v>
      </c>
    </row>
    <row r="49" spans="1:19" s="52" customFormat="1" ht="15.75">
      <c r="A49" s="867" t="s">
        <v>637</v>
      </c>
      <c r="B49" s="868"/>
      <c r="C49" s="845"/>
      <c r="D49" s="848"/>
      <c r="E49" s="848"/>
      <c r="F49" s="840"/>
      <c r="G49" s="1292"/>
      <c r="H49" s="840"/>
      <c r="I49" s="840"/>
      <c r="J49" s="848"/>
      <c r="K49" s="840"/>
      <c r="L49" s="842"/>
      <c r="M49" s="842"/>
      <c r="N49" s="842"/>
      <c r="O49" s="842"/>
      <c r="P49" s="842"/>
      <c r="Q49" s="842"/>
      <c r="R49" s="843"/>
      <c r="S49" s="844">
        <f t="shared" si="3"/>
        <v>0</v>
      </c>
    </row>
    <row r="50" spans="1:19" s="52" customFormat="1" ht="15.75">
      <c r="A50" s="867" t="s">
        <v>638</v>
      </c>
      <c r="B50" s="868"/>
      <c r="C50" s="845"/>
      <c r="D50" s="848"/>
      <c r="E50" s="848"/>
      <c r="F50" s="840"/>
      <c r="G50" s="1292"/>
      <c r="H50" s="840"/>
      <c r="I50" s="840"/>
      <c r="J50" s="841"/>
      <c r="K50" s="840"/>
      <c r="L50" s="842"/>
      <c r="M50" s="842"/>
      <c r="N50" s="842"/>
      <c r="O50" s="842"/>
      <c r="P50" s="842"/>
      <c r="Q50" s="842"/>
      <c r="R50" s="843"/>
      <c r="S50" s="844">
        <f t="shared" si="3"/>
        <v>0</v>
      </c>
    </row>
    <row r="51" spans="1:19" s="52" customFormat="1" ht="15.75">
      <c r="A51" s="867" t="s">
        <v>639</v>
      </c>
      <c r="B51" s="868"/>
      <c r="C51" s="845"/>
      <c r="D51" s="848"/>
      <c r="E51" s="848"/>
      <c r="F51" s="840"/>
      <c r="G51" s="1292"/>
      <c r="H51" s="840"/>
      <c r="I51" s="840"/>
      <c r="J51" s="841"/>
      <c r="K51" s="840"/>
      <c r="L51" s="842"/>
      <c r="M51" s="842"/>
      <c r="N51" s="842"/>
      <c r="O51" s="842"/>
      <c r="P51" s="842"/>
      <c r="Q51" s="842"/>
      <c r="R51" s="843"/>
      <c r="S51" s="844">
        <f t="shared" si="3"/>
        <v>0</v>
      </c>
    </row>
    <row r="52" spans="1:19" s="52" customFormat="1" ht="15.75">
      <c r="A52" s="867" t="s">
        <v>640</v>
      </c>
      <c r="B52" s="868"/>
      <c r="C52" s="845"/>
      <c r="D52" s="835"/>
      <c r="E52" s="1705"/>
      <c r="F52" s="840"/>
      <c r="G52" s="1292"/>
      <c r="H52" s="840"/>
      <c r="I52" s="840"/>
      <c r="J52" s="841"/>
      <c r="K52" s="840"/>
      <c r="L52" s="842"/>
      <c r="M52" s="842"/>
      <c r="N52" s="842"/>
      <c r="O52" s="842"/>
      <c r="P52" s="842"/>
      <c r="Q52" s="842"/>
      <c r="R52" s="843"/>
      <c r="S52" s="844">
        <f>M52+Q52</f>
        <v>0</v>
      </c>
    </row>
    <row r="53" spans="1:19" s="52" customFormat="1" ht="15.75">
      <c r="A53" s="867" t="s">
        <v>641</v>
      </c>
      <c r="B53" s="868"/>
      <c r="C53" s="845"/>
      <c r="D53" s="848"/>
      <c r="E53" s="848"/>
      <c r="F53" s="840"/>
      <c r="G53" s="1292"/>
      <c r="H53" s="840"/>
      <c r="I53" s="840"/>
      <c r="J53" s="841"/>
      <c r="K53" s="840"/>
      <c r="L53" s="842"/>
      <c r="M53" s="842"/>
      <c r="N53" s="842"/>
      <c r="O53" s="842"/>
      <c r="P53" s="842"/>
      <c r="Q53" s="842"/>
      <c r="R53" s="843"/>
      <c r="S53" s="844">
        <f>M53+Q53</f>
        <v>0</v>
      </c>
    </row>
    <row r="54" spans="1:19" s="52" customFormat="1" ht="15.75">
      <c r="A54" s="867" t="s">
        <v>642</v>
      </c>
      <c r="B54" s="868"/>
      <c r="C54" s="845"/>
      <c r="D54" s="848"/>
      <c r="E54" s="848"/>
      <c r="F54" s="840"/>
      <c r="G54" s="1292"/>
      <c r="H54" s="840"/>
      <c r="I54" s="840"/>
      <c r="J54" s="841"/>
      <c r="K54" s="840"/>
      <c r="L54" s="842"/>
      <c r="M54" s="842"/>
      <c r="N54" s="842"/>
      <c r="O54" s="842"/>
      <c r="P54" s="842"/>
      <c r="Q54" s="842"/>
      <c r="R54" s="843"/>
      <c r="S54" s="844">
        <f t="shared" si="3"/>
        <v>0</v>
      </c>
    </row>
    <row r="55" spans="1:19" s="52" customFormat="1" ht="15.75">
      <c r="A55" s="867"/>
      <c r="B55" s="865" t="s">
        <v>183</v>
      </c>
      <c r="C55" s="848"/>
      <c r="D55" s="848"/>
      <c r="E55" s="848"/>
      <c r="F55" s="840"/>
      <c r="G55" s="840"/>
      <c r="H55" s="840"/>
      <c r="I55" s="840"/>
      <c r="J55" s="841"/>
      <c r="K55" s="840"/>
      <c r="L55" s="842"/>
      <c r="M55" s="842"/>
      <c r="N55" s="842"/>
      <c r="O55" s="842"/>
      <c r="P55" s="842"/>
      <c r="Q55" s="842"/>
      <c r="R55" s="843"/>
      <c r="S55" s="862">
        <f>SUM(S45:S54)</f>
        <v>0</v>
      </c>
    </row>
    <row r="56" spans="1:19" s="52" customFormat="1" ht="15.75">
      <c r="A56" s="847">
        <v>12</v>
      </c>
      <c r="B56" s="839" t="s">
        <v>643</v>
      </c>
      <c r="C56" s="848"/>
      <c r="D56" s="848"/>
      <c r="E56" s="848"/>
      <c r="F56" s="848"/>
      <c r="G56" s="848"/>
      <c r="H56" s="848"/>
      <c r="I56" s="848"/>
      <c r="J56" s="848"/>
      <c r="K56" s="848"/>
      <c r="L56" s="869"/>
      <c r="M56" s="848"/>
      <c r="N56" s="852"/>
      <c r="O56" s="870"/>
      <c r="P56" s="870"/>
      <c r="Q56" s="848"/>
      <c r="R56" s="843"/>
      <c r="S56" s="862">
        <f>35178.52*Q8</f>
        <v>0</v>
      </c>
    </row>
    <row r="57" spans="1:19" s="52" customFormat="1" ht="15.75">
      <c r="A57" s="847">
        <v>13</v>
      </c>
      <c r="B57" s="839" t="s">
        <v>1268</v>
      </c>
      <c r="C57" s="848"/>
      <c r="D57" s="848"/>
      <c r="E57" s="848"/>
      <c r="F57" s="848"/>
      <c r="G57" s="848"/>
      <c r="H57" s="848"/>
      <c r="I57" s="848"/>
      <c r="J57" s="848"/>
      <c r="K57" s="848"/>
      <c r="L57" s="869"/>
      <c r="M57" s="848"/>
      <c r="N57" s="852"/>
      <c r="O57" s="870"/>
      <c r="P57" s="870"/>
      <c r="Q57" s="848"/>
      <c r="R57" s="843"/>
      <c r="S57" s="862">
        <f>S56*72%</f>
        <v>0</v>
      </c>
    </row>
    <row r="58" spans="1:19" s="52" customFormat="1" ht="15.75">
      <c r="A58" s="871">
        <v>14</v>
      </c>
      <c r="B58" s="839" t="s">
        <v>1269</v>
      </c>
      <c r="C58" s="872"/>
      <c r="D58" s="872"/>
      <c r="E58" s="872"/>
      <c r="F58" s="872"/>
      <c r="G58" s="872"/>
      <c r="H58" s="872"/>
      <c r="I58" s="872"/>
      <c r="J58" s="872"/>
      <c r="K58" s="872"/>
      <c r="L58" s="873"/>
      <c r="M58" s="872"/>
      <c r="N58" s="874"/>
      <c r="O58" s="875"/>
      <c r="P58" s="875"/>
      <c r="Q58" s="872"/>
      <c r="R58" s="876"/>
      <c r="S58" s="862">
        <f>S56*48%</f>
        <v>0</v>
      </c>
    </row>
    <row r="59" spans="1:19" s="52" customFormat="1" ht="15.75">
      <c r="A59" s="877">
        <v>15</v>
      </c>
      <c r="B59" s="878" t="s">
        <v>67</v>
      </c>
      <c r="C59" s="872"/>
      <c r="D59" s="872"/>
      <c r="E59" s="872"/>
      <c r="F59" s="872"/>
      <c r="G59" s="872"/>
      <c r="H59" s="872"/>
      <c r="I59" s="872"/>
      <c r="J59" s="872"/>
      <c r="K59" s="872"/>
      <c r="L59" s="873"/>
      <c r="M59" s="872"/>
      <c r="N59" s="874"/>
      <c r="O59" s="875"/>
      <c r="P59" s="875"/>
      <c r="Q59" s="872"/>
      <c r="R59" s="876"/>
      <c r="S59" s="862">
        <f>S37+S43+S55+S56+S57+S58</f>
        <v>0</v>
      </c>
    </row>
    <row r="60" spans="1:19" s="52" customFormat="1" ht="15.75">
      <c r="A60" s="877">
        <v>16</v>
      </c>
      <c r="B60" s="879" t="s">
        <v>644</v>
      </c>
      <c r="C60" s="872"/>
      <c r="D60" s="872"/>
      <c r="E60" s="872"/>
      <c r="F60" s="872"/>
      <c r="G60" s="872"/>
      <c r="H60" s="872"/>
      <c r="I60" s="872"/>
      <c r="J60" s="872"/>
      <c r="K60" s="840"/>
      <c r="L60" s="842"/>
      <c r="M60" s="842"/>
      <c r="N60" s="874"/>
      <c r="O60" s="875"/>
      <c r="P60" s="875"/>
      <c r="Q60" s="872"/>
      <c r="R60" s="876"/>
      <c r="S60" s="844">
        <f>M60+Q60</f>
        <v>0</v>
      </c>
    </row>
    <row r="61" spans="1:19" s="52" customFormat="1" ht="15.75">
      <c r="A61" s="877">
        <v>17</v>
      </c>
      <c r="B61" s="879" t="s">
        <v>645</v>
      </c>
      <c r="C61" s="238"/>
      <c r="D61" s="238"/>
      <c r="E61" s="238"/>
      <c r="F61" s="238"/>
      <c r="G61" s="238"/>
      <c r="H61" s="238"/>
      <c r="I61" s="238"/>
      <c r="J61" s="238"/>
      <c r="K61" s="840"/>
      <c r="L61" s="842"/>
      <c r="M61" s="842"/>
      <c r="N61" s="239"/>
      <c r="O61" s="239"/>
      <c r="P61" s="240"/>
      <c r="Q61" s="238"/>
      <c r="R61" s="238"/>
      <c r="S61" s="844">
        <f>M61+Q61</f>
        <v>0</v>
      </c>
    </row>
    <row r="62" spans="1:19" s="52" customFormat="1" ht="15.75" hidden="1">
      <c r="A62" s="877"/>
      <c r="B62" s="1166" t="s">
        <v>274</v>
      </c>
      <c r="C62" s="230"/>
      <c r="D62" s="230"/>
      <c r="E62" s="230"/>
      <c r="F62" s="230"/>
      <c r="G62" s="230"/>
      <c r="H62" s="231"/>
      <c r="I62" s="231"/>
      <c r="J62" s="230"/>
      <c r="K62" s="230"/>
      <c r="L62" s="234"/>
      <c r="M62" s="232"/>
      <c r="N62" s="233"/>
      <c r="O62" s="233"/>
      <c r="P62" s="234"/>
      <c r="Q62" s="230"/>
      <c r="R62" s="235"/>
      <c r="S62" s="261">
        <f>SUM(M62)</f>
        <v>0</v>
      </c>
    </row>
    <row r="63" spans="1:19" s="52" customFormat="1" ht="15.75" hidden="1">
      <c r="A63" s="877"/>
      <c r="B63" s="1166" t="s">
        <v>399</v>
      </c>
      <c r="C63" s="230"/>
      <c r="D63" s="230"/>
      <c r="E63" s="230"/>
      <c r="F63" s="230"/>
      <c r="G63" s="230"/>
      <c r="H63" s="231"/>
      <c r="I63" s="231"/>
      <c r="J63" s="232"/>
      <c r="K63" s="518"/>
      <c r="L63" s="234"/>
      <c r="M63" s="232"/>
      <c r="N63" s="233"/>
      <c r="O63" s="233"/>
      <c r="P63" s="234"/>
      <c r="Q63" s="230"/>
      <c r="R63" s="235"/>
      <c r="S63" s="261">
        <f>M63</f>
        <v>0</v>
      </c>
    </row>
    <row r="64" spans="1:19" s="52" customFormat="1" ht="15.75" hidden="1">
      <c r="A64" s="877"/>
      <c r="B64" s="1166" t="s">
        <v>275</v>
      </c>
      <c r="C64" s="230"/>
      <c r="D64" s="230"/>
      <c r="E64" s="230"/>
      <c r="F64" s="230"/>
      <c r="G64" s="230"/>
      <c r="H64" s="231"/>
      <c r="I64" s="231"/>
      <c r="J64" s="230"/>
      <c r="K64" s="230"/>
      <c r="L64" s="234"/>
      <c r="M64" s="230"/>
      <c r="N64" s="233"/>
      <c r="O64" s="233"/>
      <c r="P64" s="234"/>
      <c r="Q64" s="230"/>
      <c r="R64" s="235"/>
      <c r="S64" s="261">
        <f>M64</f>
        <v>0</v>
      </c>
    </row>
    <row r="65" spans="1:20" s="52" customFormat="1" ht="15.75" hidden="1">
      <c r="A65" s="877"/>
      <c r="B65" s="1166" t="s">
        <v>326</v>
      </c>
      <c r="C65" s="230"/>
      <c r="D65" s="230"/>
      <c r="E65" s="230"/>
      <c r="F65" s="230"/>
      <c r="G65" s="230"/>
      <c r="H65" s="231"/>
      <c r="I65" s="231"/>
      <c r="J65" s="230"/>
      <c r="K65" s="230"/>
      <c r="L65" s="234"/>
      <c r="M65" s="230"/>
      <c r="N65" s="233"/>
      <c r="O65" s="233"/>
      <c r="P65" s="234"/>
      <c r="Q65" s="230"/>
      <c r="R65" s="235"/>
      <c r="S65" s="430">
        <f>L65</f>
        <v>0</v>
      </c>
    </row>
    <row r="66" spans="1:20" s="52" customFormat="1" ht="15.75">
      <c r="A66" s="877">
        <v>18</v>
      </c>
      <c r="B66" s="878" t="s">
        <v>67</v>
      </c>
      <c r="C66" s="238"/>
      <c r="D66" s="238"/>
      <c r="E66" s="238"/>
      <c r="F66" s="238"/>
      <c r="G66" s="238"/>
      <c r="H66" s="238"/>
      <c r="I66" s="238"/>
      <c r="J66" s="238"/>
      <c r="K66" s="238"/>
      <c r="L66" s="239"/>
      <c r="M66" s="238"/>
      <c r="N66" s="239"/>
      <c r="O66" s="239"/>
      <c r="P66" s="240"/>
      <c r="Q66" s="238"/>
      <c r="R66" s="238"/>
      <c r="S66" s="862">
        <f>SUM(S59:S65)</f>
        <v>0</v>
      </c>
    </row>
    <row r="67" spans="1:20" s="52" customFormat="1" ht="15.75">
      <c r="A67" s="880">
        <v>19</v>
      </c>
      <c r="B67" s="878" t="s">
        <v>401</v>
      </c>
      <c r="C67" s="881"/>
      <c r="D67" s="881"/>
      <c r="E67" s="881"/>
      <c r="F67" s="881"/>
      <c r="G67" s="881"/>
      <c r="H67" s="881"/>
      <c r="I67" s="881"/>
      <c r="J67" s="881"/>
      <c r="K67" s="881"/>
      <c r="L67" s="882"/>
      <c r="M67" s="881"/>
      <c r="N67" s="882"/>
      <c r="O67" s="882"/>
      <c r="P67" s="883"/>
      <c r="Q67" s="881"/>
      <c r="R67" s="881"/>
      <c r="S67" s="862">
        <f>S66*0.2</f>
        <v>0</v>
      </c>
    </row>
    <row r="68" spans="1:20" s="52" customFormat="1" ht="16.5" thickBot="1">
      <c r="A68" s="258">
        <v>20</v>
      </c>
      <c r="B68" s="241" t="s">
        <v>70</v>
      </c>
      <c r="C68" s="242"/>
      <c r="D68" s="242"/>
      <c r="E68" s="242"/>
      <c r="F68" s="242"/>
      <c r="G68" s="242"/>
      <c r="H68" s="242"/>
      <c r="I68" s="242"/>
      <c r="J68" s="242"/>
      <c r="K68" s="242"/>
      <c r="L68" s="243"/>
      <c r="M68" s="242"/>
      <c r="N68" s="243"/>
      <c r="O68" s="243"/>
      <c r="P68" s="244"/>
      <c r="Q68" s="242"/>
      <c r="R68" s="242"/>
      <c r="S68" s="884">
        <f>SUM(S66:S67)</f>
        <v>0</v>
      </c>
    </row>
    <row r="69" spans="1:20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20">
      <c r="A70" s="56"/>
      <c r="B70" s="53"/>
      <c r="C70" s="55"/>
      <c r="D70" s="55"/>
      <c r="E70" s="53"/>
      <c r="F70" s="53"/>
      <c r="G70" s="53"/>
      <c r="H70" s="53"/>
      <c r="I70" s="53"/>
      <c r="J70" s="53"/>
    </row>
    <row r="71" spans="1:20" ht="15.75">
      <c r="A71" s="2295" t="s">
        <v>589</v>
      </c>
      <c r="B71" s="2295"/>
      <c r="C71" s="2295"/>
      <c r="D71" s="2295"/>
      <c r="E71" s="2295"/>
      <c r="F71" s="2295"/>
      <c r="G71" s="2295"/>
      <c r="H71" s="2295"/>
      <c r="I71" s="2295"/>
      <c r="J71" s="2295"/>
      <c r="K71" s="2295"/>
      <c r="L71" s="2295"/>
      <c r="M71" s="2295"/>
      <c r="N71" s="2295"/>
      <c r="O71" s="2295"/>
      <c r="P71" s="2295"/>
      <c r="Q71" s="2295"/>
      <c r="R71" s="2295"/>
      <c r="S71" s="2295"/>
    </row>
    <row r="72" spans="1:20" s="434" customFormat="1" ht="15.75">
      <c r="B72" s="2296" t="s">
        <v>415</v>
      </c>
      <c r="C72" s="2296"/>
      <c r="D72" s="2296"/>
      <c r="E72" s="2296"/>
      <c r="F72" s="2296"/>
      <c r="G72" s="2296"/>
      <c r="H72" s="2296"/>
      <c r="I72" s="2296"/>
      <c r="J72" s="2296"/>
      <c r="K72" s="2296"/>
      <c r="L72" s="2296"/>
      <c r="M72" s="2296"/>
      <c r="N72" s="2296"/>
      <c r="O72" s="2296"/>
      <c r="P72" s="2296"/>
      <c r="Q72" s="2296"/>
      <c r="R72" s="2296"/>
      <c r="S72" s="2296"/>
    </row>
    <row r="73" spans="1:20" s="434" customFormat="1" ht="16.5" thickBot="1">
      <c r="B73" s="751"/>
      <c r="C73" s="751"/>
      <c r="D73" s="751"/>
      <c r="E73" s="751"/>
      <c r="F73" s="751"/>
      <c r="G73" s="751"/>
      <c r="H73" s="751"/>
      <c r="I73" s="751"/>
      <c r="J73" s="751"/>
      <c r="K73" s="751"/>
      <c r="L73" s="751"/>
      <c r="M73" s="751"/>
      <c r="N73" s="751"/>
      <c r="O73" s="751"/>
      <c r="P73" s="751"/>
      <c r="Q73" s="751"/>
      <c r="R73" s="751"/>
      <c r="S73" s="751"/>
    </row>
    <row r="74" spans="1:20" s="500" customFormat="1" ht="17.25" thickTop="1" thickBot="1">
      <c r="B74" s="755" t="s">
        <v>585</v>
      </c>
      <c r="C74" s="501"/>
      <c r="D74" s="754"/>
      <c r="E74" s="501"/>
      <c r="F74" s="501"/>
      <c r="G74" s="504"/>
      <c r="H74" s="2299">
        <f>H6</f>
        <v>0</v>
      </c>
      <c r="I74" s="2300"/>
      <c r="J74" s="504"/>
      <c r="K74" s="2299" t="s">
        <v>586</v>
      </c>
      <c r="L74" s="2300"/>
      <c r="M74" s="504" t="s">
        <v>317</v>
      </c>
      <c r="N74" s="495">
        <f>N7</f>
        <v>0</v>
      </c>
      <c r="O74" s="505"/>
      <c r="P74" s="504"/>
      <c r="Q74" s="506"/>
      <c r="R74" s="504"/>
      <c r="S74" s="501"/>
      <c r="T74" s="501"/>
    </row>
    <row r="75" spans="1:20" ht="14.25" thickTop="1" thickBot="1">
      <c r="A75" s="44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50"/>
      <c r="M75" s="51"/>
      <c r="N75" s="45"/>
      <c r="O75" s="45"/>
      <c r="P75" s="46"/>
      <c r="Q75" s="886">
        <f>Q8</f>
        <v>0</v>
      </c>
      <c r="R75" s="47"/>
      <c r="S75" s="887" t="s">
        <v>62</v>
      </c>
    </row>
    <row r="76" spans="1:20" s="52" customFormat="1" ht="58.7" customHeight="1">
      <c r="A76" s="2301" t="s">
        <v>0</v>
      </c>
      <c r="B76" s="2303" t="s">
        <v>55</v>
      </c>
      <c r="C76" s="30" t="s">
        <v>56</v>
      </c>
      <c r="D76" s="30" t="s">
        <v>167</v>
      </c>
      <c r="E76" s="30" t="s">
        <v>168</v>
      </c>
      <c r="F76" s="2305" t="s">
        <v>170</v>
      </c>
      <c r="G76" s="2305"/>
      <c r="H76" s="2305" t="s">
        <v>171</v>
      </c>
      <c r="I76" s="2305"/>
      <c r="J76" s="30" t="s">
        <v>174</v>
      </c>
      <c r="K76" s="30" t="s">
        <v>100</v>
      </c>
      <c r="L76" s="29" t="s">
        <v>158</v>
      </c>
      <c r="M76" s="30" t="s">
        <v>57</v>
      </c>
      <c r="N76" s="29" t="s">
        <v>169</v>
      </c>
      <c r="O76" s="29" t="s">
        <v>71</v>
      </c>
      <c r="P76" s="31" t="s">
        <v>58</v>
      </c>
      <c r="Q76" s="30" t="s">
        <v>59</v>
      </c>
      <c r="R76" s="30" t="s">
        <v>60</v>
      </c>
      <c r="S76" s="32" t="s">
        <v>61</v>
      </c>
    </row>
    <row r="77" spans="1:20" s="52" customFormat="1" ht="15">
      <c r="A77" s="2302"/>
      <c r="B77" s="2304"/>
      <c r="C77" s="34" t="s">
        <v>63</v>
      </c>
      <c r="D77" s="34" t="s">
        <v>160</v>
      </c>
      <c r="E77" s="34" t="s">
        <v>66</v>
      </c>
      <c r="F77" s="34" t="s">
        <v>808</v>
      </c>
      <c r="G77" s="34" t="s">
        <v>809</v>
      </c>
      <c r="H77" s="34" t="s">
        <v>101</v>
      </c>
      <c r="I77" s="34" t="s">
        <v>102</v>
      </c>
      <c r="J77" s="34" t="s">
        <v>161</v>
      </c>
      <c r="K77" s="34" t="s">
        <v>161</v>
      </c>
      <c r="L77" s="33" t="s">
        <v>64</v>
      </c>
      <c r="M77" s="34" t="s">
        <v>65</v>
      </c>
      <c r="N77" s="35" t="s">
        <v>66</v>
      </c>
      <c r="O77" s="35" t="s">
        <v>66</v>
      </c>
      <c r="P77" s="36" t="s">
        <v>65</v>
      </c>
      <c r="Q77" s="37" t="s">
        <v>65</v>
      </c>
      <c r="R77" s="37" t="s">
        <v>65</v>
      </c>
      <c r="S77" s="38" t="s">
        <v>65</v>
      </c>
    </row>
    <row r="78" spans="1:20" ht="15">
      <c r="A78" s="41">
        <v>1</v>
      </c>
      <c r="B78" s="39">
        <v>2</v>
      </c>
      <c r="C78" s="39">
        <v>3</v>
      </c>
      <c r="D78" s="39">
        <v>4</v>
      </c>
      <c r="E78" s="39">
        <v>5</v>
      </c>
      <c r="F78" s="39">
        <v>6</v>
      </c>
      <c r="G78" s="40" t="s">
        <v>91</v>
      </c>
      <c r="H78" s="40" t="s">
        <v>92</v>
      </c>
      <c r="I78" s="40" t="s">
        <v>93</v>
      </c>
      <c r="J78" s="39">
        <v>10</v>
      </c>
      <c r="K78" s="40" t="s">
        <v>94</v>
      </c>
      <c r="L78" s="39">
        <v>12</v>
      </c>
      <c r="M78" s="40" t="s">
        <v>95</v>
      </c>
      <c r="N78" s="39">
        <v>14</v>
      </c>
      <c r="O78" s="40" t="s">
        <v>96</v>
      </c>
      <c r="P78" s="40">
        <v>16</v>
      </c>
      <c r="Q78" s="40" t="s">
        <v>97</v>
      </c>
      <c r="R78" s="40" t="s">
        <v>97</v>
      </c>
      <c r="S78" s="140" t="s">
        <v>99</v>
      </c>
    </row>
    <row r="79" spans="1:20" s="431" customFormat="1" ht="15.75">
      <c r="A79" s="850">
        <v>1</v>
      </c>
      <c r="B79" s="833" t="s">
        <v>647</v>
      </c>
      <c r="C79" s="848"/>
      <c r="D79" s="848"/>
      <c r="E79" s="848"/>
      <c r="F79" s="848"/>
      <c r="G79" s="848"/>
      <c r="H79" s="848"/>
      <c r="I79" s="848"/>
      <c r="J79" s="841"/>
      <c r="K79" s="848"/>
      <c r="L79" s="851"/>
      <c r="M79" s="848"/>
      <c r="N79" s="852"/>
      <c r="O79" s="852"/>
      <c r="P79" s="853"/>
      <c r="Q79" s="848"/>
      <c r="R79" s="843"/>
      <c r="S79" s="854"/>
    </row>
    <row r="80" spans="1:20" s="431" customFormat="1" ht="15.75">
      <c r="A80" s="867" t="s">
        <v>421</v>
      </c>
      <c r="B80" s="839"/>
      <c r="C80" s="840"/>
      <c r="D80" s="848"/>
      <c r="E80" s="835"/>
      <c r="F80" s="840"/>
      <c r="G80" s="840"/>
      <c r="H80" s="855"/>
      <c r="I80" s="855"/>
      <c r="J80" s="841"/>
      <c r="K80" s="840"/>
      <c r="L80" s="842"/>
      <c r="M80" s="842"/>
      <c r="N80" s="842"/>
      <c r="O80" s="842"/>
      <c r="P80" s="842"/>
      <c r="Q80" s="842"/>
      <c r="R80" s="843"/>
      <c r="S80" s="844">
        <f>M80+Q80</f>
        <v>0</v>
      </c>
    </row>
    <row r="81" spans="1:19" s="431" customFormat="1" ht="15.75">
      <c r="A81" s="847" t="s">
        <v>5</v>
      </c>
      <c r="B81" s="833" t="s">
        <v>1272</v>
      </c>
      <c r="C81" s="848"/>
      <c r="D81" s="848"/>
      <c r="E81" s="848"/>
      <c r="F81" s="848"/>
      <c r="G81" s="848"/>
      <c r="H81" s="856"/>
      <c r="I81" s="856"/>
      <c r="J81" s="841"/>
      <c r="K81" s="848"/>
      <c r="L81" s="857"/>
      <c r="M81" s="848"/>
      <c r="N81" s="842"/>
      <c r="O81" s="842"/>
      <c r="P81" s="857"/>
      <c r="Q81" s="842"/>
      <c r="R81" s="843"/>
      <c r="S81" s="844"/>
    </row>
    <row r="82" spans="1:19" s="431" customFormat="1" ht="15.75">
      <c r="A82" s="847" t="s">
        <v>7</v>
      </c>
      <c r="B82" s="846"/>
      <c r="C82" s="840"/>
      <c r="D82" s="848"/>
      <c r="E82" s="835"/>
      <c r="F82" s="840"/>
      <c r="G82" s="840"/>
      <c r="H82" s="855"/>
      <c r="I82" s="855"/>
      <c r="J82" s="841"/>
      <c r="K82" s="840"/>
      <c r="L82" s="842"/>
      <c r="M82" s="842"/>
      <c r="N82" s="842"/>
      <c r="O82" s="842"/>
      <c r="P82" s="842"/>
      <c r="Q82" s="842"/>
      <c r="R82" s="843"/>
      <c r="S82" s="844">
        <f t="shared" ref="S82:S89" si="4">M82+Q82</f>
        <v>0</v>
      </c>
    </row>
    <row r="83" spans="1:19" s="431" customFormat="1" ht="15.75">
      <c r="A83" s="847" t="s">
        <v>6</v>
      </c>
      <c r="B83" s="846"/>
      <c r="C83" s="840"/>
      <c r="D83" s="848"/>
      <c r="E83" s="835"/>
      <c r="F83" s="840"/>
      <c r="G83" s="840"/>
      <c r="H83" s="855"/>
      <c r="I83" s="855"/>
      <c r="J83" s="841"/>
      <c r="K83" s="840"/>
      <c r="L83" s="842"/>
      <c r="M83" s="842"/>
      <c r="N83" s="842"/>
      <c r="O83" s="842"/>
      <c r="P83" s="842"/>
      <c r="Q83" s="842"/>
      <c r="R83" s="843"/>
      <c r="S83" s="844">
        <f t="shared" si="4"/>
        <v>0</v>
      </c>
    </row>
    <row r="84" spans="1:19" s="431" customFormat="1" ht="15.75">
      <c r="A84" s="847" t="s">
        <v>810</v>
      </c>
      <c r="B84" s="846"/>
      <c r="C84" s="840"/>
      <c r="D84" s="848"/>
      <c r="E84" s="835"/>
      <c r="F84" s="840"/>
      <c r="G84" s="840"/>
      <c r="H84" s="855"/>
      <c r="I84" s="855"/>
      <c r="J84" s="841"/>
      <c r="K84" s="840"/>
      <c r="L84" s="842"/>
      <c r="M84" s="842"/>
      <c r="N84" s="842"/>
      <c r="O84" s="842"/>
      <c r="P84" s="842"/>
      <c r="Q84" s="842"/>
      <c r="R84" s="843"/>
      <c r="S84" s="844">
        <f t="shared" si="4"/>
        <v>0</v>
      </c>
    </row>
    <row r="85" spans="1:19" s="431" customFormat="1" ht="15.75">
      <c r="A85" s="847" t="s">
        <v>811</v>
      </c>
      <c r="B85" s="846"/>
      <c r="C85" s="845"/>
      <c r="D85" s="848"/>
      <c r="E85" s="835"/>
      <c r="F85" s="840"/>
      <c r="G85" s="840"/>
      <c r="H85" s="855"/>
      <c r="I85" s="855"/>
      <c r="J85" s="841"/>
      <c r="K85" s="840"/>
      <c r="L85" s="842"/>
      <c r="M85" s="842"/>
      <c r="N85" s="842"/>
      <c r="O85" s="842"/>
      <c r="P85" s="842"/>
      <c r="Q85" s="842"/>
      <c r="R85" s="843"/>
      <c r="S85" s="844">
        <f t="shared" si="4"/>
        <v>0</v>
      </c>
    </row>
    <row r="86" spans="1:19" s="431" customFormat="1" ht="15.75">
      <c r="A86" s="847" t="s">
        <v>812</v>
      </c>
      <c r="B86" s="846"/>
      <c r="C86" s="845"/>
      <c r="D86" s="848"/>
      <c r="E86" s="835"/>
      <c r="F86" s="840"/>
      <c r="G86" s="840"/>
      <c r="H86" s="855"/>
      <c r="I86" s="855"/>
      <c r="J86" s="841"/>
      <c r="K86" s="840"/>
      <c r="L86" s="842"/>
      <c r="M86" s="842"/>
      <c r="N86" s="842"/>
      <c r="O86" s="842"/>
      <c r="P86" s="842"/>
      <c r="Q86" s="842"/>
      <c r="R86" s="843"/>
      <c r="S86" s="844">
        <f t="shared" si="4"/>
        <v>0</v>
      </c>
    </row>
    <row r="87" spans="1:19" s="52" customFormat="1" ht="15.75">
      <c r="A87" s="847" t="s">
        <v>813</v>
      </c>
      <c r="B87" s="846"/>
      <c r="C87" s="845"/>
      <c r="D87" s="848"/>
      <c r="E87" s="848"/>
      <c r="F87" s="840"/>
      <c r="G87" s="840"/>
      <c r="H87" s="855"/>
      <c r="I87" s="855"/>
      <c r="J87" s="841"/>
      <c r="K87" s="840"/>
      <c r="L87" s="842"/>
      <c r="M87" s="842"/>
      <c r="N87" s="842"/>
      <c r="O87" s="842"/>
      <c r="P87" s="842"/>
      <c r="Q87" s="842"/>
      <c r="R87" s="843"/>
      <c r="S87" s="844">
        <f t="shared" si="4"/>
        <v>0</v>
      </c>
    </row>
    <row r="88" spans="1:19" s="432" customFormat="1" ht="15.75">
      <c r="A88" s="847" t="s">
        <v>814</v>
      </c>
      <c r="B88" s="846"/>
      <c r="C88" s="845"/>
      <c r="D88" s="848"/>
      <c r="E88" s="848"/>
      <c r="F88" s="840"/>
      <c r="G88" s="840"/>
      <c r="H88" s="855"/>
      <c r="I88" s="855"/>
      <c r="J88" s="841"/>
      <c r="K88" s="840"/>
      <c r="L88" s="842"/>
      <c r="M88" s="842"/>
      <c r="N88" s="842"/>
      <c r="O88" s="842"/>
      <c r="P88" s="842"/>
      <c r="Q88" s="842"/>
      <c r="R88" s="843"/>
      <c r="S88" s="844">
        <f t="shared" si="4"/>
        <v>0</v>
      </c>
    </row>
    <row r="89" spans="1:19" s="432" customFormat="1" ht="15.75">
      <c r="A89" s="847" t="s">
        <v>815</v>
      </c>
      <c r="B89" s="846"/>
      <c r="C89" s="845"/>
      <c r="D89" s="848"/>
      <c r="E89" s="848"/>
      <c r="F89" s="840"/>
      <c r="G89" s="840"/>
      <c r="H89" s="855"/>
      <c r="I89" s="855"/>
      <c r="J89" s="841"/>
      <c r="K89" s="840"/>
      <c r="L89" s="842"/>
      <c r="M89" s="842"/>
      <c r="N89" s="842"/>
      <c r="O89" s="842"/>
      <c r="P89" s="842"/>
      <c r="Q89" s="842"/>
      <c r="R89" s="843"/>
      <c r="S89" s="844">
        <f t="shared" si="4"/>
        <v>0</v>
      </c>
    </row>
    <row r="90" spans="1:19" s="52" customFormat="1" ht="15.75">
      <c r="A90" s="847" t="s">
        <v>816</v>
      </c>
      <c r="B90" s="839"/>
      <c r="C90" s="845"/>
      <c r="D90" s="848"/>
      <c r="E90" s="848"/>
      <c r="F90" s="840"/>
      <c r="G90" s="840"/>
      <c r="H90" s="855"/>
      <c r="I90" s="855"/>
      <c r="J90" s="841"/>
      <c r="K90" s="840"/>
      <c r="L90" s="842"/>
      <c r="M90" s="842"/>
      <c r="N90" s="842"/>
      <c r="O90" s="842"/>
      <c r="P90" s="842"/>
      <c r="Q90" s="842"/>
      <c r="R90" s="843"/>
      <c r="S90" s="844">
        <f>M90+Q90</f>
        <v>0</v>
      </c>
    </row>
    <row r="91" spans="1:19" s="52" customFormat="1" ht="15.75">
      <c r="A91" s="858"/>
      <c r="B91" s="859" t="s">
        <v>628</v>
      </c>
      <c r="C91" s="848"/>
      <c r="D91" s="848"/>
      <c r="E91" s="848"/>
      <c r="F91" s="848"/>
      <c r="G91" s="848"/>
      <c r="H91" s="856"/>
      <c r="I91" s="856"/>
      <c r="J91" s="848"/>
      <c r="K91" s="848"/>
      <c r="L91" s="857"/>
      <c r="M91" s="848"/>
      <c r="N91" s="860"/>
      <c r="O91" s="861"/>
      <c r="P91" s="857"/>
      <c r="Q91" s="848"/>
      <c r="R91" s="843"/>
      <c r="S91" s="862">
        <f>SUM(S69:S90)</f>
        <v>0</v>
      </c>
    </row>
    <row r="92" spans="1:19" s="52" customFormat="1" ht="15.75">
      <c r="A92" s="847">
        <v>3</v>
      </c>
      <c r="B92" s="863"/>
      <c r="C92" s="845"/>
      <c r="D92" s="848"/>
      <c r="E92" s="848"/>
      <c r="F92" s="848"/>
      <c r="G92" s="848"/>
      <c r="H92" s="848"/>
      <c r="I92" s="848"/>
      <c r="J92" s="848"/>
      <c r="K92" s="840"/>
      <c r="L92" s="842"/>
      <c r="M92" s="842"/>
      <c r="N92" s="860"/>
      <c r="O92" s="861"/>
      <c r="P92" s="857"/>
      <c r="Q92" s="848"/>
      <c r="R92" s="843"/>
      <c r="S92" s="844">
        <f>M92+Q92</f>
        <v>0</v>
      </c>
    </row>
    <row r="93" spans="1:19" s="52" customFormat="1" ht="15.75">
      <c r="A93" s="847">
        <v>4</v>
      </c>
      <c r="B93" s="863"/>
      <c r="C93" s="845"/>
      <c r="D93" s="848"/>
      <c r="E93" s="848"/>
      <c r="F93" s="848"/>
      <c r="G93" s="848"/>
      <c r="H93" s="848"/>
      <c r="I93" s="848"/>
      <c r="J93" s="848"/>
      <c r="K93" s="840"/>
      <c r="L93" s="842"/>
      <c r="M93" s="842"/>
      <c r="N93" s="860"/>
      <c r="O93" s="861"/>
      <c r="P93" s="857"/>
      <c r="Q93" s="848"/>
      <c r="R93" s="843"/>
      <c r="S93" s="844">
        <f>M93+Q93</f>
        <v>0</v>
      </c>
    </row>
    <row r="94" spans="1:19" s="52" customFormat="1" ht="15.75">
      <c r="A94" s="847">
        <v>5</v>
      </c>
      <c r="B94" s="863"/>
      <c r="C94" s="845"/>
      <c r="D94" s="848"/>
      <c r="E94" s="848"/>
      <c r="F94" s="848"/>
      <c r="G94" s="848"/>
      <c r="H94" s="848"/>
      <c r="I94" s="848"/>
      <c r="J94" s="848"/>
      <c r="K94" s="840"/>
      <c r="L94" s="842"/>
      <c r="M94" s="842"/>
      <c r="N94" s="860"/>
      <c r="O94" s="861"/>
      <c r="P94" s="857"/>
      <c r="Q94" s="848"/>
      <c r="R94" s="843"/>
      <c r="S94" s="844">
        <f>M94+Q94</f>
        <v>0</v>
      </c>
    </row>
    <row r="95" spans="1:19" s="52" customFormat="1" ht="15.75">
      <c r="A95" s="847">
        <v>6</v>
      </c>
      <c r="B95" s="864"/>
      <c r="C95" s="845"/>
      <c r="D95" s="848"/>
      <c r="E95" s="848"/>
      <c r="F95" s="848"/>
      <c r="G95" s="848"/>
      <c r="H95" s="848"/>
      <c r="I95" s="848"/>
      <c r="J95" s="848"/>
      <c r="K95" s="840"/>
      <c r="L95" s="842"/>
      <c r="M95" s="842"/>
      <c r="N95" s="860"/>
      <c r="O95" s="861"/>
      <c r="P95" s="857"/>
      <c r="Q95" s="848"/>
      <c r="R95" s="843"/>
      <c r="S95" s="844">
        <f>M95+Q95</f>
        <v>0</v>
      </c>
    </row>
    <row r="96" spans="1:19" s="52" customFormat="1" ht="15.75">
      <c r="A96" s="847">
        <v>7</v>
      </c>
      <c r="B96" s="839"/>
      <c r="C96" s="845"/>
      <c r="D96" s="848"/>
      <c r="E96" s="848"/>
      <c r="F96" s="848"/>
      <c r="G96" s="848"/>
      <c r="H96" s="848"/>
      <c r="I96" s="848"/>
      <c r="J96" s="848"/>
      <c r="K96" s="840"/>
      <c r="L96" s="842"/>
      <c r="M96" s="842"/>
      <c r="N96" s="860"/>
      <c r="O96" s="861"/>
      <c r="P96" s="857"/>
      <c r="Q96" s="848"/>
      <c r="R96" s="843"/>
      <c r="S96" s="844">
        <f>M96+Q96</f>
        <v>0</v>
      </c>
    </row>
    <row r="97" spans="1:19" s="52" customFormat="1" ht="15.75">
      <c r="A97" s="847"/>
      <c r="B97" s="878" t="s">
        <v>648</v>
      </c>
      <c r="C97" s="845"/>
      <c r="D97" s="848"/>
      <c r="E97" s="848"/>
      <c r="F97" s="848"/>
      <c r="G97" s="848"/>
      <c r="H97" s="848"/>
      <c r="I97" s="848"/>
      <c r="J97" s="848"/>
      <c r="K97" s="840"/>
      <c r="L97" s="842"/>
      <c r="M97" s="842"/>
      <c r="N97" s="860"/>
      <c r="O97" s="861"/>
      <c r="P97" s="857"/>
      <c r="Q97" s="848"/>
      <c r="R97" s="843"/>
      <c r="S97" s="862">
        <f>SUM(S92:S96)</f>
        <v>0</v>
      </c>
    </row>
    <row r="98" spans="1:19" s="52" customFormat="1" ht="15.75">
      <c r="A98" s="847">
        <v>8</v>
      </c>
      <c r="B98" s="839" t="s">
        <v>643</v>
      </c>
      <c r="C98" s="848"/>
      <c r="D98" s="848"/>
      <c r="E98" s="848"/>
      <c r="F98" s="848"/>
      <c r="G98" s="848"/>
      <c r="H98" s="848"/>
      <c r="I98" s="848"/>
      <c r="J98" s="848"/>
      <c r="K98" s="848"/>
      <c r="L98" s="869"/>
      <c r="M98" s="848"/>
      <c r="N98" s="852"/>
      <c r="O98" s="870"/>
      <c r="P98" s="870"/>
      <c r="Q98" s="848"/>
      <c r="R98" s="843"/>
      <c r="S98" s="862">
        <f>32877.12*Q75</f>
        <v>0</v>
      </c>
    </row>
    <row r="99" spans="1:19" s="52" customFormat="1" ht="15.75">
      <c r="A99" s="847">
        <v>9</v>
      </c>
      <c r="B99" s="839" t="s">
        <v>1268</v>
      </c>
      <c r="C99" s="848"/>
      <c r="D99" s="848"/>
      <c r="E99" s="848"/>
      <c r="F99" s="848"/>
      <c r="G99" s="848"/>
      <c r="H99" s="848"/>
      <c r="I99" s="848"/>
      <c r="J99" s="848"/>
      <c r="K99" s="848"/>
      <c r="L99" s="869"/>
      <c r="M99" s="848"/>
      <c r="N99" s="852"/>
      <c r="O99" s="870"/>
      <c r="P99" s="870"/>
      <c r="Q99" s="848"/>
      <c r="R99" s="843"/>
      <c r="S99" s="862">
        <f>S98*72%</f>
        <v>0</v>
      </c>
    </row>
    <row r="100" spans="1:19" s="52" customFormat="1" ht="15.75">
      <c r="A100" s="871">
        <v>10</v>
      </c>
      <c r="B100" s="839" t="s">
        <v>1269</v>
      </c>
      <c r="C100" s="872"/>
      <c r="D100" s="872"/>
      <c r="E100" s="872"/>
      <c r="F100" s="872"/>
      <c r="G100" s="872"/>
      <c r="H100" s="872"/>
      <c r="I100" s="872"/>
      <c r="J100" s="872"/>
      <c r="K100" s="872"/>
      <c r="L100" s="873"/>
      <c r="M100" s="872"/>
      <c r="N100" s="874"/>
      <c r="O100" s="875"/>
      <c r="P100" s="875"/>
      <c r="Q100" s="872"/>
      <c r="R100" s="876"/>
      <c r="S100" s="862">
        <f>S98*48%</f>
        <v>0</v>
      </c>
    </row>
    <row r="101" spans="1:19" s="52" customFormat="1" ht="15.75">
      <c r="A101" s="877">
        <v>11</v>
      </c>
      <c r="B101" s="878" t="s">
        <v>67</v>
      </c>
      <c r="C101" s="872"/>
      <c r="D101" s="872"/>
      <c r="E101" s="872"/>
      <c r="F101" s="872"/>
      <c r="G101" s="872"/>
      <c r="H101" s="872"/>
      <c r="I101" s="872"/>
      <c r="J101" s="872"/>
      <c r="K101" s="872"/>
      <c r="L101" s="873"/>
      <c r="M101" s="872"/>
      <c r="N101" s="874"/>
      <c r="O101" s="875"/>
      <c r="P101" s="875"/>
      <c r="Q101" s="872"/>
      <c r="R101" s="876"/>
      <c r="S101" s="862">
        <f>SUM(S98:S100)</f>
        <v>0</v>
      </c>
    </row>
    <row r="102" spans="1:19" s="52" customFormat="1" ht="15.75">
      <c r="A102" s="877">
        <v>12</v>
      </c>
      <c r="B102" s="879" t="s">
        <v>1273</v>
      </c>
      <c r="C102" s="872"/>
      <c r="D102" s="872"/>
      <c r="E102" s="872"/>
      <c r="F102" s="872"/>
      <c r="G102" s="872"/>
      <c r="H102" s="872"/>
      <c r="I102" s="872"/>
      <c r="J102" s="872"/>
      <c r="K102" s="840"/>
      <c r="L102" s="842"/>
      <c r="M102" s="842"/>
      <c r="N102" s="874"/>
      <c r="O102" s="875"/>
      <c r="P102" s="875"/>
      <c r="Q102" s="872"/>
      <c r="R102" s="876"/>
      <c r="S102" s="844">
        <f>M102+Q102</f>
        <v>0</v>
      </c>
    </row>
    <row r="103" spans="1:19" s="52" customFormat="1" ht="15.75">
      <c r="A103" s="877">
        <v>13</v>
      </c>
      <c r="B103" s="879" t="s">
        <v>1273</v>
      </c>
      <c r="C103" s="238"/>
      <c r="D103" s="238"/>
      <c r="E103" s="238"/>
      <c r="F103" s="238"/>
      <c r="G103" s="238"/>
      <c r="H103" s="238"/>
      <c r="I103" s="238"/>
      <c r="J103" s="238"/>
      <c r="K103" s="840">
        <f>24*Q75</f>
        <v>0</v>
      </c>
      <c r="L103" s="842">
        <f>L61</f>
        <v>0</v>
      </c>
      <c r="M103" s="842">
        <f>K103*L103</f>
        <v>0</v>
      </c>
      <c r="N103" s="239"/>
      <c r="O103" s="239"/>
      <c r="P103" s="240"/>
      <c r="Q103" s="238"/>
      <c r="R103" s="238"/>
      <c r="S103" s="844">
        <f>M103+Q103</f>
        <v>0</v>
      </c>
    </row>
    <row r="104" spans="1:19" s="52" customFormat="1" ht="15.75" hidden="1">
      <c r="A104" s="877"/>
      <c r="B104" s="1166" t="s">
        <v>274</v>
      </c>
      <c r="C104" s="230"/>
      <c r="D104" s="230"/>
      <c r="E104" s="230"/>
      <c r="F104" s="230"/>
      <c r="G104" s="230"/>
      <c r="H104" s="231"/>
      <c r="I104" s="231"/>
      <c r="J104" s="230"/>
      <c r="K104" s="230"/>
      <c r="L104" s="234"/>
      <c r="M104" s="232"/>
      <c r="N104" s="233"/>
      <c r="O104" s="233"/>
      <c r="P104" s="234"/>
      <c r="Q104" s="230"/>
      <c r="R104" s="235"/>
      <c r="S104" s="261">
        <f>SUM(M104)</f>
        <v>0</v>
      </c>
    </row>
    <row r="105" spans="1:19" s="52" customFormat="1" ht="15.75" hidden="1">
      <c r="A105" s="877"/>
      <c r="B105" s="1166" t="s">
        <v>399</v>
      </c>
      <c r="C105" s="230"/>
      <c r="D105" s="230"/>
      <c r="E105" s="230"/>
      <c r="F105" s="230"/>
      <c r="G105" s="230"/>
      <c r="H105" s="231"/>
      <c r="I105" s="231"/>
      <c r="J105" s="232"/>
      <c r="K105" s="518"/>
      <c r="L105" s="234"/>
      <c r="M105" s="232"/>
      <c r="N105" s="233"/>
      <c r="O105" s="233"/>
      <c r="P105" s="234"/>
      <c r="Q105" s="230"/>
      <c r="R105" s="235"/>
      <c r="S105" s="261">
        <f>M105</f>
        <v>0</v>
      </c>
    </row>
    <row r="106" spans="1:19" s="52" customFormat="1" ht="15.75" hidden="1">
      <c r="A106" s="877"/>
      <c r="B106" s="1166" t="s">
        <v>275</v>
      </c>
      <c r="C106" s="230"/>
      <c r="D106" s="230"/>
      <c r="E106" s="230"/>
      <c r="F106" s="230"/>
      <c r="G106" s="230"/>
      <c r="H106" s="231"/>
      <c r="I106" s="231"/>
      <c r="J106" s="230"/>
      <c r="K106" s="230"/>
      <c r="L106" s="234"/>
      <c r="M106" s="230"/>
      <c r="N106" s="233"/>
      <c r="O106" s="233"/>
      <c r="P106" s="234"/>
      <c r="Q106" s="230"/>
      <c r="R106" s="235"/>
      <c r="S106" s="261">
        <f>M106</f>
        <v>0</v>
      </c>
    </row>
    <row r="107" spans="1:19" s="52" customFormat="1" ht="15.75" hidden="1">
      <c r="A107" s="877"/>
      <c r="B107" s="1166" t="s">
        <v>326</v>
      </c>
      <c r="C107" s="230"/>
      <c r="D107" s="230"/>
      <c r="E107" s="230"/>
      <c r="F107" s="230"/>
      <c r="G107" s="230"/>
      <c r="H107" s="231"/>
      <c r="I107" s="231"/>
      <c r="J107" s="230"/>
      <c r="K107" s="230"/>
      <c r="L107" s="234"/>
      <c r="M107" s="230"/>
      <c r="N107" s="233"/>
      <c r="O107" s="233"/>
      <c r="P107" s="234"/>
      <c r="Q107" s="230"/>
      <c r="R107" s="235"/>
      <c r="S107" s="430">
        <f>L107</f>
        <v>0</v>
      </c>
    </row>
    <row r="108" spans="1:19" ht="15.75">
      <c r="A108" s="858">
        <v>14</v>
      </c>
      <c r="B108" s="865" t="s">
        <v>67</v>
      </c>
      <c r="C108" s="848"/>
      <c r="D108" s="848"/>
      <c r="E108" s="848"/>
      <c r="F108" s="848"/>
      <c r="G108" s="848"/>
      <c r="H108" s="848"/>
      <c r="I108" s="848"/>
      <c r="J108" s="848"/>
      <c r="K108" s="848"/>
      <c r="L108" s="851"/>
      <c r="M108" s="848"/>
      <c r="N108" s="860"/>
      <c r="O108" s="861"/>
      <c r="P108" s="857"/>
      <c r="Q108" s="848"/>
      <c r="R108" s="843"/>
      <c r="S108" s="862">
        <f>S91+S97+S101+S102+S103+S104+S105+S106+S107</f>
        <v>0</v>
      </c>
    </row>
    <row r="109" spans="1:19" ht="15.75">
      <c r="A109" s="893">
        <v>15</v>
      </c>
      <c r="B109" s="894" t="s">
        <v>401</v>
      </c>
      <c r="C109" s="895"/>
      <c r="D109" s="895"/>
      <c r="E109" s="895"/>
      <c r="F109" s="895"/>
      <c r="G109" s="895"/>
      <c r="H109" s="895"/>
      <c r="I109" s="895"/>
      <c r="J109" s="895"/>
      <c r="K109" s="895"/>
      <c r="L109" s="896"/>
      <c r="M109" s="895"/>
      <c r="N109" s="896"/>
      <c r="O109" s="896"/>
      <c r="P109" s="897"/>
      <c r="Q109" s="895"/>
      <c r="R109" s="895"/>
      <c r="S109" s="898">
        <f>S108*0.2</f>
        <v>0</v>
      </c>
    </row>
    <row r="110" spans="1:19" ht="16.5" thickBot="1">
      <c r="A110" s="258">
        <v>16</v>
      </c>
      <c r="B110" s="241" t="s">
        <v>70</v>
      </c>
      <c r="C110" s="242"/>
      <c r="D110" s="242"/>
      <c r="E110" s="242"/>
      <c r="F110" s="242"/>
      <c r="G110" s="242"/>
      <c r="H110" s="242"/>
      <c r="I110" s="242"/>
      <c r="J110" s="242"/>
      <c r="K110" s="242"/>
      <c r="L110" s="243"/>
      <c r="M110" s="242"/>
      <c r="N110" s="243"/>
      <c r="O110" s="243"/>
      <c r="P110" s="244"/>
      <c r="Q110" s="242"/>
      <c r="R110" s="242"/>
      <c r="S110" s="884">
        <f>SUM(S108:S109)</f>
        <v>0</v>
      </c>
    </row>
    <row r="111" spans="1:19" ht="15.75">
      <c r="A111" s="888"/>
      <c r="B111" s="889"/>
      <c r="C111" s="890"/>
      <c r="D111" s="890"/>
      <c r="E111" s="890"/>
      <c r="F111" s="890"/>
      <c r="G111" s="890"/>
      <c r="H111" s="890"/>
      <c r="I111" s="890"/>
      <c r="J111" s="890"/>
      <c r="K111" s="890"/>
      <c r="L111" s="888"/>
      <c r="M111" s="890"/>
      <c r="N111" s="888"/>
      <c r="O111" s="888"/>
      <c r="P111" s="891"/>
      <c r="Q111" s="890"/>
      <c r="R111" s="890"/>
      <c r="S111" s="892"/>
    </row>
    <row r="112" spans="1:19" ht="15.75">
      <c r="A112" s="888"/>
      <c r="B112" s="889"/>
      <c r="C112" s="890"/>
      <c r="D112" s="890"/>
      <c r="E112" s="890"/>
      <c r="F112" s="890"/>
      <c r="G112" s="890"/>
      <c r="H112" s="890"/>
      <c r="I112" s="890"/>
      <c r="J112" s="890"/>
      <c r="K112" s="890"/>
      <c r="L112" s="888"/>
      <c r="M112" s="890"/>
      <c r="N112" s="888"/>
      <c r="O112" s="888"/>
      <c r="P112" s="891"/>
      <c r="Q112" s="890"/>
      <c r="R112" s="890"/>
      <c r="S112" s="892"/>
    </row>
    <row r="113" spans="1:10" s="77" customFormat="1" ht="30" customHeight="1">
      <c r="A113" s="2297" t="e">
        <f>'Хим. скв 45'!#REF!</f>
        <v>#REF!</v>
      </c>
      <c r="B113" s="2297"/>
      <c r="C113" s="27"/>
      <c r="D113" s="2291"/>
      <c r="E113" s="2291"/>
      <c r="F113" s="260"/>
      <c r="G113" s="2292" t="e">
        <f>'Хим. скв 45'!#REF!</f>
        <v>#REF!</v>
      </c>
      <c r="H113" s="2292"/>
    </row>
    <row r="114" spans="1:10" s="77" customFormat="1" ht="15">
      <c r="A114" s="2298" t="s">
        <v>126</v>
      </c>
      <c r="B114" s="2298"/>
      <c r="D114" s="2293" t="s">
        <v>124</v>
      </c>
      <c r="E114" s="2293"/>
      <c r="F114" s="108"/>
      <c r="G114" s="2294" t="s">
        <v>127</v>
      </c>
      <c r="H114" s="2294"/>
    </row>
    <row r="115" spans="1:10">
      <c r="A115" s="56"/>
      <c r="B115" s="53"/>
      <c r="C115" s="55"/>
      <c r="D115" s="55"/>
      <c r="E115" s="53"/>
      <c r="F115" s="53"/>
      <c r="G115" s="53"/>
      <c r="H115" s="53"/>
      <c r="I115" s="53"/>
      <c r="J115" s="53"/>
    </row>
    <row r="116" spans="1:10">
      <c r="A116" s="56"/>
      <c r="B116" s="53"/>
      <c r="C116" s="55"/>
      <c r="D116" s="55"/>
      <c r="E116" s="53"/>
      <c r="F116" s="53"/>
      <c r="G116" s="53"/>
      <c r="H116" s="53"/>
      <c r="I116" s="53"/>
      <c r="J116" s="53"/>
    </row>
    <row r="117" spans="1:10">
      <c r="A117" s="56"/>
      <c r="B117" s="53"/>
      <c r="C117" s="55"/>
      <c r="D117" s="55"/>
      <c r="E117" s="53"/>
      <c r="F117" s="53"/>
      <c r="G117" s="53"/>
      <c r="H117" s="53"/>
      <c r="I117" s="53"/>
      <c r="J117" s="53"/>
    </row>
    <row r="118" spans="1:10">
      <c r="A118" s="57"/>
    </row>
    <row r="119" spans="1:10">
      <c r="A119" s="57"/>
    </row>
  </sheetData>
  <mergeCells count="28">
    <mergeCell ref="B3:S3"/>
    <mergeCell ref="B2:S2"/>
    <mergeCell ref="B4:J4"/>
    <mergeCell ref="A9:A10"/>
    <mergeCell ref="B9:B10"/>
    <mergeCell ref="F9:G9"/>
    <mergeCell ref="H9:I9"/>
    <mergeCell ref="O7:T7"/>
    <mergeCell ref="H5:I5"/>
    <mergeCell ref="K5:L5"/>
    <mergeCell ref="H7:I7"/>
    <mergeCell ref="K7:L7"/>
    <mergeCell ref="H6:I6"/>
    <mergeCell ref="K6:L6"/>
    <mergeCell ref="A71:S71"/>
    <mergeCell ref="G114:H114"/>
    <mergeCell ref="D114:E114"/>
    <mergeCell ref="D113:E113"/>
    <mergeCell ref="G113:H113"/>
    <mergeCell ref="B72:S72"/>
    <mergeCell ref="A113:B113"/>
    <mergeCell ref="A114:B114"/>
    <mergeCell ref="H74:I74"/>
    <mergeCell ref="K74:L74"/>
    <mergeCell ref="A76:A77"/>
    <mergeCell ref="B76:B77"/>
    <mergeCell ref="F76:G76"/>
    <mergeCell ref="H76:I76"/>
  </mergeCells>
  <phoneticPr fontId="17" type="noConversion"/>
  <pageMargins left="0.39370078740157483" right="0.39370078740157483" top="0.39370078740157483" bottom="0.39370078740157483" header="0" footer="0"/>
  <pageSetup paperSize="9" scale="42" orientation="portrait" r:id="rId1"/>
  <headerFooter alignWithMargins="0"/>
  <rowBreaks count="1" manualBreakCount="1">
    <brk id="70" max="18" man="1"/>
  </rowBreaks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topLeftCell="B1" workbookViewId="0">
      <selection activeCell="I26" sqref="I26"/>
    </sheetView>
  </sheetViews>
  <sheetFormatPr defaultColWidth="9.140625" defaultRowHeight="12.75"/>
  <cols>
    <col min="1" max="1" width="7.7109375" style="42" customWidth="1"/>
    <col min="2" max="2" width="42.28515625" style="42" customWidth="1"/>
    <col min="3" max="3" width="8.85546875" style="43" customWidth="1"/>
    <col min="4" max="4" width="10.7109375" style="43" customWidth="1"/>
    <col min="5" max="5" width="8.85546875" style="43" customWidth="1"/>
    <col min="6" max="6" width="11.85546875" style="43" customWidth="1"/>
    <col min="7" max="7" width="10.28515625" style="43" customWidth="1"/>
    <col min="8" max="8" width="9.7109375" style="43" customWidth="1"/>
    <col min="9" max="10" width="9.5703125" style="43" customWidth="1"/>
    <col min="11" max="11" width="10.28515625" style="43" customWidth="1"/>
    <col min="12" max="12" width="12.5703125" style="42" customWidth="1"/>
    <col min="13" max="13" width="14.28515625" style="43" bestFit="1" customWidth="1"/>
    <col min="14" max="14" width="12.140625" style="42" bestFit="1" customWidth="1"/>
    <col min="15" max="15" width="11.28515625" style="42" customWidth="1"/>
    <col min="16" max="16" width="8" style="54" customWidth="1"/>
    <col min="17" max="17" width="15.5703125" style="43" bestFit="1" customWidth="1"/>
    <col min="18" max="18" width="13.28515625" style="43" hidden="1" customWidth="1"/>
    <col min="19" max="19" width="15.140625" style="43" customWidth="1"/>
    <col min="20" max="20" width="19.28515625" style="44" customWidth="1"/>
    <col min="21" max="21" width="9" style="44" customWidth="1"/>
    <col min="22" max="22" width="15.140625" style="44" customWidth="1"/>
    <col min="23" max="16384" width="9.140625" style="44"/>
  </cols>
  <sheetData>
    <row r="1" spans="1:20" s="1811" customFormat="1" ht="15.75">
      <c r="A1" s="1809"/>
      <c r="B1" s="1809"/>
      <c r="C1" s="1810"/>
      <c r="D1" s="1810"/>
      <c r="E1" s="1810"/>
      <c r="F1" s="1810"/>
      <c r="G1" s="1810"/>
      <c r="H1" s="1809"/>
      <c r="I1" s="1810"/>
      <c r="J1" s="1809"/>
      <c r="L1" s="756"/>
      <c r="M1" s="756"/>
      <c r="N1" s="756"/>
      <c r="O1" s="756"/>
      <c r="P1" s="756"/>
      <c r="R1" s="756" t="s">
        <v>354</v>
      </c>
    </row>
    <row r="2" spans="1:20" s="1811" customFormat="1" ht="15.75">
      <c r="B2" s="2310" t="s">
        <v>338</v>
      </c>
      <c r="C2" s="2310"/>
      <c r="D2" s="2310"/>
      <c r="E2" s="2310"/>
      <c r="F2" s="2310"/>
      <c r="G2" s="2310"/>
      <c r="H2" s="2310"/>
      <c r="I2" s="2310"/>
      <c r="J2" s="2310"/>
      <c r="K2" s="2310"/>
      <c r="L2" s="2310"/>
      <c r="M2" s="2310"/>
      <c r="N2" s="2310"/>
      <c r="O2" s="2310"/>
      <c r="P2" s="2310"/>
      <c r="Q2" s="2310"/>
      <c r="R2" s="2310"/>
      <c r="S2" s="2310"/>
    </row>
    <row r="3" spans="1:20" s="1811" customFormat="1" ht="15.75">
      <c r="B3" s="2311" t="s">
        <v>1274</v>
      </c>
      <c r="C3" s="2311"/>
      <c r="D3" s="2311"/>
      <c r="E3" s="2311"/>
      <c r="F3" s="2311"/>
      <c r="G3" s="2311"/>
      <c r="H3" s="2311"/>
      <c r="I3" s="2311"/>
      <c r="J3" s="2311"/>
      <c r="K3" s="2311"/>
      <c r="L3" s="2311"/>
      <c r="M3" s="2311"/>
      <c r="N3" s="2311"/>
      <c r="O3" s="2311"/>
      <c r="P3" s="2311"/>
      <c r="Q3" s="2311"/>
      <c r="R3" s="2311"/>
      <c r="S3" s="2311"/>
    </row>
    <row r="4" spans="1:20" s="1811" customFormat="1" ht="16.5" thickBot="1">
      <c r="B4" s="2310"/>
      <c r="C4" s="2310"/>
      <c r="D4" s="2310"/>
      <c r="E4" s="2310"/>
      <c r="F4" s="2310"/>
      <c r="G4" s="2310"/>
      <c r="H4" s="2310"/>
      <c r="I4" s="2310"/>
      <c r="J4" s="2310"/>
      <c r="K4" s="1812"/>
      <c r="L4" s="1813"/>
      <c r="M4" s="1814" t="s">
        <v>54</v>
      </c>
      <c r="N4" s="1814"/>
      <c r="O4" s="1814"/>
    </row>
    <row r="5" spans="1:20" s="1815" customFormat="1" ht="17.25" thickTop="1" thickBot="1">
      <c r="B5" s="1816" t="s">
        <v>585</v>
      </c>
      <c r="C5" s="1817"/>
      <c r="D5" s="1818"/>
      <c r="E5" s="1817"/>
      <c r="F5" s="1817"/>
      <c r="G5" s="1819"/>
      <c r="H5" s="2308" t="s">
        <v>586</v>
      </c>
      <c r="I5" s="2309"/>
      <c r="J5" s="1819"/>
      <c r="K5" s="2308"/>
      <c r="L5" s="2309"/>
      <c r="M5" s="1819" t="s">
        <v>317</v>
      </c>
      <c r="N5" s="1135"/>
      <c r="O5" s="1820"/>
      <c r="P5" s="1821"/>
      <c r="Q5" s="1822"/>
      <c r="R5" s="1821"/>
      <c r="S5" s="1823"/>
      <c r="T5" s="1823"/>
    </row>
    <row r="6" spans="1:20" s="1815" customFormat="1" ht="17.25" thickTop="1" thickBot="1">
      <c r="B6" s="1816" t="s">
        <v>587</v>
      </c>
      <c r="C6" s="1817"/>
      <c r="D6" s="1824"/>
      <c r="E6" s="1825"/>
      <c r="F6" s="1825"/>
      <c r="G6" s="1819"/>
      <c r="H6" s="2308"/>
      <c r="I6" s="2309"/>
      <c r="J6" s="1819"/>
      <c r="K6" s="2308"/>
      <c r="L6" s="2309"/>
      <c r="M6" s="1819" t="s">
        <v>317</v>
      </c>
      <c r="N6" s="1135"/>
      <c r="O6" s="1820"/>
      <c r="P6" s="1821"/>
      <c r="Q6" s="1822"/>
      <c r="R6" s="1821"/>
      <c r="S6" s="1823"/>
      <c r="T6" s="1823"/>
    </row>
    <row r="7" spans="1:20" s="1827" customFormat="1" ht="17.25" thickTop="1" thickBot="1">
      <c r="A7" s="1826"/>
      <c r="B7" s="1816"/>
      <c r="C7" s="1817"/>
      <c r="D7" s="1824"/>
      <c r="E7" s="1825"/>
      <c r="F7" s="1825"/>
      <c r="G7" s="1819"/>
      <c r="H7" s="2308" t="s">
        <v>586</v>
      </c>
      <c r="I7" s="2309"/>
      <c r="J7" s="1819"/>
      <c r="K7" s="2308">
        <f>K6</f>
        <v>0</v>
      </c>
      <c r="L7" s="2309"/>
      <c r="M7" s="1819"/>
      <c r="N7" s="1135"/>
      <c r="O7" s="2307"/>
      <c r="P7" s="2307"/>
      <c r="Q7" s="2307"/>
      <c r="R7" s="2307"/>
      <c r="S7" s="2307"/>
      <c r="T7" s="2307"/>
    </row>
    <row r="8" spans="1:20" ht="14.25" thickTop="1" thickBot="1">
      <c r="A8" s="44"/>
      <c r="B8" s="48"/>
      <c r="C8" s="49"/>
      <c r="D8" s="49"/>
      <c r="E8" s="49"/>
      <c r="F8" s="49"/>
      <c r="G8" s="49"/>
      <c r="H8" s="49"/>
      <c r="I8" s="49"/>
      <c r="J8" s="49"/>
      <c r="K8" s="49"/>
      <c r="L8" s="50"/>
      <c r="M8" s="51"/>
      <c r="N8" s="1253"/>
      <c r="O8" s="1253"/>
      <c r="P8" s="1254"/>
      <c r="Q8" s="1255"/>
      <c r="R8" s="1255"/>
      <c r="S8" s="1256"/>
      <c r="T8" s="434"/>
    </row>
    <row r="9" spans="1:20" s="52" customFormat="1" ht="60">
      <c r="A9" s="2301" t="s">
        <v>0</v>
      </c>
      <c r="B9" s="2303" t="s">
        <v>55</v>
      </c>
      <c r="C9" s="1789" t="s">
        <v>56</v>
      </c>
      <c r="D9" s="1789" t="s">
        <v>167</v>
      </c>
      <c r="E9" s="1789" t="s">
        <v>168</v>
      </c>
      <c r="F9" s="2305" t="s">
        <v>170</v>
      </c>
      <c r="G9" s="2305"/>
      <c r="H9" s="2305" t="s">
        <v>171</v>
      </c>
      <c r="I9" s="2305"/>
      <c r="J9" s="1789" t="s">
        <v>175</v>
      </c>
      <c r="K9" s="1789" t="s">
        <v>100</v>
      </c>
      <c r="L9" s="1787" t="s">
        <v>158</v>
      </c>
      <c r="M9" s="1789" t="s">
        <v>57</v>
      </c>
      <c r="N9" s="1787" t="s">
        <v>169</v>
      </c>
      <c r="O9" s="1787" t="s">
        <v>71</v>
      </c>
      <c r="P9" s="31" t="s">
        <v>58</v>
      </c>
      <c r="Q9" s="1789" t="s">
        <v>59</v>
      </c>
      <c r="R9" s="1789" t="s">
        <v>60</v>
      </c>
      <c r="S9" s="32" t="s">
        <v>61</v>
      </c>
    </row>
    <row r="10" spans="1:20" s="52" customFormat="1" ht="15">
      <c r="A10" s="2302"/>
      <c r="B10" s="2304"/>
      <c r="C10" s="34" t="s">
        <v>63</v>
      </c>
      <c r="D10" s="34" t="s">
        <v>160</v>
      </c>
      <c r="E10" s="34" t="s">
        <v>66</v>
      </c>
      <c r="F10" s="34" t="s">
        <v>381</v>
      </c>
      <c r="G10" s="34" t="s">
        <v>102</v>
      </c>
      <c r="H10" s="34" t="s">
        <v>101</v>
      </c>
      <c r="I10" s="34" t="s">
        <v>102</v>
      </c>
      <c r="J10" s="34" t="s">
        <v>161</v>
      </c>
      <c r="K10" s="34" t="s">
        <v>161</v>
      </c>
      <c r="L10" s="1788" t="s">
        <v>64</v>
      </c>
      <c r="M10" s="34" t="s">
        <v>65</v>
      </c>
      <c r="N10" s="35" t="s">
        <v>66</v>
      </c>
      <c r="O10" s="35" t="s">
        <v>66</v>
      </c>
      <c r="P10" s="36" t="s">
        <v>65</v>
      </c>
      <c r="Q10" s="37" t="s">
        <v>65</v>
      </c>
      <c r="R10" s="37" t="s">
        <v>65</v>
      </c>
      <c r="S10" s="38" t="s">
        <v>65</v>
      </c>
    </row>
    <row r="11" spans="1:20" ht="15">
      <c r="A11" s="41">
        <v>1</v>
      </c>
      <c r="B11" s="39">
        <v>2</v>
      </c>
      <c r="C11" s="39">
        <v>3</v>
      </c>
      <c r="D11" s="39">
        <v>4</v>
      </c>
      <c r="E11" s="39">
        <v>5</v>
      </c>
      <c r="F11" s="39">
        <v>6</v>
      </c>
      <c r="G11" s="40" t="s">
        <v>91</v>
      </c>
      <c r="H11" s="40" t="s">
        <v>92</v>
      </c>
      <c r="I11" s="40" t="s">
        <v>93</v>
      </c>
      <c r="J11" s="39">
        <v>10</v>
      </c>
      <c r="K11" s="40" t="s">
        <v>94</v>
      </c>
      <c r="L11" s="39">
        <v>12</v>
      </c>
      <c r="M11" s="40" t="s">
        <v>95</v>
      </c>
      <c r="N11" s="39">
        <v>14</v>
      </c>
      <c r="O11" s="40" t="s">
        <v>96</v>
      </c>
      <c r="P11" s="40">
        <v>16</v>
      </c>
      <c r="Q11" s="40" t="s">
        <v>97</v>
      </c>
      <c r="R11" s="40" t="s">
        <v>97</v>
      </c>
      <c r="S11" s="140" t="s">
        <v>99</v>
      </c>
    </row>
    <row r="12" spans="1:20" s="52" customFormat="1" ht="15.75">
      <c r="A12" s="1828">
        <v>1</v>
      </c>
      <c r="B12" s="833" t="s">
        <v>607</v>
      </c>
      <c r="C12" s="1829"/>
      <c r="D12" s="1830"/>
      <c r="E12" s="1830"/>
      <c r="F12" s="1830"/>
      <c r="G12" s="1831"/>
      <c r="H12" s="1831"/>
      <c r="I12" s="1831"/>
      <c r="J12" s="1830"/>
      <c r="K12" s="1831"/>
      <c r="L12" s="1830"/>
      <c r="M12" s="1831"/>
      <c r="N12" s="1830"/>
      <c r="O12" s="1831"/>
      <c r="P12" s="1831"/>
      <c r="Q12" s="1831"/>
      <c r="R12" s="1831"/>
      <c r="S12" s="1832"/>
    </row>
    <row r="13" spans="1:20" s="52" customFormat="1" ht="15.75">
      <c r="A13" s="1833" t="s">
        <v>421</v>
      </c>
      <c r="B13" s="839"/>
      <c r="C13" s="1292"/>
      <c r="D13" s="1830"/>
      <c r="E13" s="1830"/>
      <c r="F13" s="1292"/>
      <c r="G13" s="1292"/>
      <c r="H13" s="1292"/>
      <c r="I13" s="1292"/>
      <c r="J13" s="1834"/>
      <c r="K13" s="1292"/>
      <c r="L13" s="1835"/>
      <c r="M13" s="1835"/>
      <c r="N13" s="1835"/>
      <c r="O13" s="1835"/>
      <c r="P13" s="1835"/>
      <c r="Q13" s="1835"/>
      <c r="R13" s="1836"/>
      <c r="S13" s="1837"/>
    </row>
    <row r="14" spans="1:20" s="52" customFormat="1" ht="15.75">
      <c r="A14" s="1828" t="s">
        <v>422</v>
      </c>
      <c r="B14" s="839"/>
      <c r="C14" s="1838"/>
      <c r="D14" s="1830"/>
      <c r="E14" s="1830"/>
      <c r="F14" s="1292"/>
      <c r="G14" s="1292"/>
      <c r="H14" s="1292"/>
      <c r="I14" s="1292"/>
      <c r="J14" s="1834"/>
      <c r="K14" s="1292"/>
      <c r="L14" s="1835"/>
      <c r="M14" s="1835"/>
      <c r="N14" s="1835"/>
      <c r="O14" s="1835"/>
      <c r="P14" s="1835"/>
      <c r="Q14" s="1835"/>
      <c r="R14" s="1836"/>
      <c r="S14" s="1837"/>
    </row>
    <row r="15" spans="1:20" s="52" customFormat="1" ht="15.75">
      <c r="A15" s="1828" t="s">
        <v>380</v>
      </c>
      <c r="B15" s="1839"/>
      <c r="C15" s="1292"/>
      <c r="D15" s="1830"/>
      <c r="E15" s="1830"/>
      <c r="F15" s="1292"/>
      <c r="G15" s="1292"/>
      <c r="H15" s="1292"/>
      <c r="I15" s="1292"/>
      <c r="J15" s="1834"/>
      <c r="K15" s="1292"/>
      <c r="L15" s="1835"/>
      <c r="M15" s="1835"/>
      <c r="N15" s="1835"/>
      <c r="O15" s="1835"/>
      <c r="P15" s="1835"/>
      <c r="Q15" s="1835"/>
      <c r="R15" s="1836"/>
      <c r="S15" s="1837"/>
    </row>
    <row r="16" spans="1:20" s="52" customFormat="1" ht="15.75">
      <c r="A16" s="1828" t="s">
        <v>610</v>
      </c>
      <c r="B16" s="1839"/>
      <c r="C16" s="1292"/>
      <c r="D16" s="1830"/>
      <c r="E16" s="1830"/>
      <c r="F16" s="1292"/>
      <c r="G16" s="1292"/>
      <c r="H16" s="1292"/>
      <c r="I16" s="1292"/>
      <c r="J16" s="1834"/>
      <c r="K16" s="1292"/>
      <c r="L16" s="1835"/>
      <c r="M16" s="1835"/>
      <c r="N16" s="1835"/>
      <c r="O16" s="1835"/>
      <c r="P16" s="1835"/>
      <c r="Q16" s="1835"/>
      <c r="R16" s="1836"/>
      <c r="S16" s="1837"/>
    </row>
    <row r="17" spans="1:19" s="52" customFormat="1" ht="15.75">
      <c r="A17" s="1828" t="s">
        <v>612</v>
      </c>
      <c r="B17" s="1839"/>
      <c r="C17" s="1838"/>
      <c r="D17" s="1830"/>
      <c r="E17" s="1830"/>
      <c r="F17" s="1292"/>
      <c r="G17" s="1292"/>
      <c r="H17" s="1292"/>
      <c r="I17" s="1292"/>
      <c r="J17" s="1834"/>
      <c r="K17" s="1292"/>
      <c r="L17" s="1835"/>
      <c r="M17" s="1835"/>
      <c r="N17" s="1835"/>
      <c r="O17" s="1835"/>
      <c r="P17" s="1835"/>
      <c r="Q17" s="1835"/>
      <c r="R17" s="1836"/>
      <c r="S17" s="1837"/>
    </row>
    <row r="18" spans="1:19" s="431" customFormat="1" ht="15.75">
      <c r="A18" s="1828" t="s">
        <v>614</v>
      </c>
      <c r="B18" s="1839"/>
      <c r="C18" s="1838"/>
      <c r="D18" s="1830"/>
      <c r="E18" s="1830"/>
      <c r="F18" s="1292"/>
      <c r="G18" s="1292"/>
      <c r="H18" s="1292"/>
      <c r="I18" s="1292"/>
      <c r="J18" s="1834"/>
      <c r="K18" s="1292"/>
      <c r="L18" s="1835"/>
      <c r="M18" s="1835"/>
      <c r="N18" s="1835"/>
      <c r="O18" s="1835"/>
      <c r="P18" s="1835"/>
      <c r="Q18" s="1835"/>
      <c r="R18" s="1836"/>
      <c r="S18" s="1837"/>
    </row>
    <row r="19" spans="1:19" s="431" customFormat="1" ht="15.75">
      <c r="A19" s="1828" t="s">
        <v>616</v>
      </c>
      <c r="B19" s="1839"/>
      <c r="C19" s="1838"/>
      <c r="D19" s="1830"/>
      <c r="E19" s="1830"/>
      <c r="F19" s="1292"/>
      <c r="G19" s="1292"/>
      <c r="H19" s="1292"/>
      <c r="I19" s="1292"/>
      <c r="J19" s="1834"/>
      <c r="K19" s="1292"/>
      <c r="L19" s="1835"/>
      <c r="M19" s="1835"/>
      <c r="N19" s="1835"/>
      <c r="O19" s="1835"/>
      <c r="P19" s="1835"/>
      <c r="Q19" s="1835"/>
      <c r="R19" s="1836"/>
      <c r="S19" s="1837"/>
    </row>
    <row r="20" spans="1:19" s="431" customFormat="1" ht="15.75">
      <c r="A20" s="1840" t="s">
        <v>618</v>
      </c>
      <c r="B20" s="1839"/>
      <c r="C20" s="1838"/>
      <c r="D20" s="1830"/>
      <c r="E20" s="1830"/>
      <c r="F20" s="1292"/>
      <c r="G20" s="1292"/>
      <c r="H20" s="1292"/>
      <c r="I20" s="1292"/>
      <c r="J20" s="1834"/>
      <c r="K20" s="1292"/>
      <c r="L20" s="1835"/>
      <c r="M20" s="1835"/>
      <c r="N20" s="1835"/>
      <c r="O20" s="1835"/>
      <c r="P20" s="1835"/>
      <c r="Q20" s="1835"/>
      <c r="R20" s="1836"/>
      <c r="S20" s="1837"/>
    </row>
    <row r="21" spans="1:19" s="52" customFormat="1" ht="15.75">
      <c r="A21" s="1840" t="s">
        <v>620</v>
      </c>
      <c r="B21" s="1839"/>
      <c r="C21" s="1841"/>
      <c r="D21" s="1841"/>
      <c r="E21" s="1830"/>
      <c r="F21" s="1292"/>
      <c r="G21" s="1292"/>
      <c r="H21" s="1292"/>
      <c r="I21" s="1292"/>
      <c r="J21" s="1834"/>
      <c r="K21" s="1292"/>
      <c r="L21" s="1835"/>
      <c r="M21" s="1835"/>
      <c r="N21" s="1835"/>
      <c r="O21" s="1835"/>
      <c r="P21" s="1835"/>
      <c r="Q21" s="1835"/>
      <c r="R21" s="1836"/>
      <c r="S21" s="1837"/>
    </row>
    <row r="22" spans="1:19" s="52" customFormat="1" ht="15.75">
      <c r="A22" s="1828" t="s">
        <v>622</v>
      </c>
      <c r="B22" s="1842"/>
      <c r="C22" s="1838"/>
      <c r="D22" s="1841"/>
      <c r="E22" s="1830"/>
      <c r="F22" s="1292"/>
      <c r="G22" s="1292"/>
      <c r="H22" s="1292"/>
      <c r="I22" s="1292"/>
      <c r="J22" s="1834"/>
      <c r="K22" s="1292"/>
      <c r="L22" s="1835"/>
      <c r="M22" s="1835"/>
      <c r="N22" s="1835"/>
      <c r="O22" s="1835"/>
      <c r="P22" s="1835"/>
      <c r="Q22" s="1835"/>
      <c r="R22" s="1836"/>
      <c r="S22" s="1837"/>
    </row>
    <row r="23" spans="1:19" s="52" customFormat="1" ht="15.75">
      <c r="A23" s="1828" t="s">
        <v>1191</v>
      </c>
      <c r="B23" s="1842"/>
      <c r="C23" s="1838"/>
      <c r="D23" s="1830"/>
      <c r="E23" s="1830"/>
      <c r="F23" s="1292"/>
      <c r="G23" s="1292"/>
      <c r="H23" s="1292"/>
      <c r="I23" s="1292"/>
      <c r="J23" s="1834"/>
      <c r="K23" s="1292"/>
      <c r="L23" s="1835"/>
      <c r="M23" s="1835"/>
      <c r="N23" s="1835"/>
      <c r="O23" s="1835"/>
      <c r="P23" s="1835"/>
      <c r="Q23" s="1835"/>
      <c r="R23" s="1836"/>
      <c r="S23" s="1837"/>
    </row>
    <row r="24" spans="1:19" s="52" customFormat="1" ht="15.75">
      <c r="A24" s="1843">
        <v>2</v>
      </c>
      <c r="B24" s="833" t="s">
        <v>647</v>
      </c>
      <c r="C24" s="1841"/>
      <c r="D24" s="1841"/>
      <c r="E24" s="1841"/>
      <c r="F24" s="1841"/>
      <c r="G24" s="1841"/>
      <c r="H24" s="1841"/>
      <c r="I24" s="1841"/>
      <c r="J24" s="1834"/>
      <c r="K24" s="1841"/>
      <c r="L24" s="1844"/>
      <c r="M24" s="1841"/>
      <c r="N24" s="1845"/>
      <c r="O24" s="1845"/>
      <c r="P24" s="1846"/>
      <c r="Q24" s="1841"/>
      <c r="R24" s="1836"/>
      <c r="S24" s="1847"/>
    </row>
    <row r="25" spans="1:19" s="52" customFormat="1" ht="15.75">
      <c r="A25" s="1840" t="s">
        <v>7</v>
      </c>
      <c r="B25" s="839"/>
      <c r="C25" s="1292"/>
      <c r="D25" s="1841"/>
      <c r="E25" s="1830"/>
      <c r="F25" s="1292"/>
      <c r="G25" s="1292"/>
      <c r="H25" s="1848"/>
      <c r="I25" s="1848"/>
      <c r="J25" s="1834"/>
      <c r="K25" s="1292"/>
      <c r="L25" s="1835"/>
      <c r="M25" s="1835"/>
      <c r="N25" s="1835"/>
      <c r="O25" s="1835"/>
      <c r="P25" s="1835"/>
      <c r="Q25" s="1835"/>
      <c r="R25" s="1836"/>
      <c r="S25" s="1837"/>
    </row>
    <row r="26" spans="1:19" s="52" customFormat="1" ht="15.75">
      <c r="A26" s="1840">
        <v>3</v>
      </c>
      <c r="B26" s="833" t="s">
        <v>1267</v>
      </c>
      <c r="C26" s="1841"/>
      <c r="D26" s="1841"/>
      <c r="E26" s="1841"/>
      <c r="F26" s="1841"/>
      <c r="G26" s="1841"/>
      <c r="H26" s="1849"/>
      <c r="I26" s="1849"/>
      <c r="J26" s="1834"/>
      <c r="K26" s="1841"/>
      <c r="L26" s="1850"/>
      <c r="M26" s="1841"/>
      <c r="N26" s="1835"/>
      <c r="O26" s="1835"/>
      <c r="P26" s="1850"/>
      <c r="Q26" s="1835"/>
      <c r="R26" s="1836"/>
      <c r="S26" s="1837"/>
    </row>
    <row r="27" spans="1:19" s="52" customFormat="1" ht="15.75">
      <c r="A27" s="1840" t="s">
        <v>120</v>
      </c>
      <c r="B27" s="1839"/>
      <c r="C27" s="1292"/>
      <c r="D27" s="1841"/>
      <c r="E27" s="1830"/>
      <c r="F27" s="1292"/>
      <c r="G27" s="1292"/>
      <c r="H27" s="1848"/>
      <c r="I27" s="1848"/>
      <c r="J27" s="1834"/>
      <c r="K27" s="1292"/>
      <c r="L27" s="1835"/>
      <c r="M27" s="1835"/>
      <c r="N27" s="1835"/>
      <c r="O27" s="1835"/>
      <c r="P27" s="1835"/>
      <c r="Q27" s="1835"/>
      <c r="R27" s="1836"/>
      <c r="S27" s="1837"/>
    </row>
    <row r="28" spans="1:19" s="52" customFormat="1" ht="15.75">
      <c r="A28" s="1840" t="s">
        <v>121</v>
      </c>
      <c r="B28" s="1839"/>
      <c r="C28" s="1292"/>
      <c r="D28" s="1841"/>
      <c r="E28" s="1830"/>
      <c r="F28" s="1292"/>
      <c r="G28" s="1292"/>
      <c r="H28" s="1848"/>
      <c r="I28" s="1848"/>
      <c r="J28" s="1834"/>
      <c r="K28" s="1292"/>
      <c r="L28" s="1835"/>
      <c r="M28" s="1835"/>
      <c r="N28" s="1835"/>
      <c r="O28" s="1835"/>
      <c r="P28" s="1835"/>
      <c r="Q28" s="1835"/>
      <c r="R28" s="1836"/>
      <c r="S28" s="1837"/>
    </row>
    <row r="29" spans="1:19" s="52" customFormat="1" ht="15.75">
      <c r="A29" s="1840" t="s">
        <v>122</v>
      </c>
      <c r="B29" s="1839"/>
      <c r="C29" s="1292"/>
      <c r="D29" s="1841"/>
      <c r="E29" s="1830"/>
      <c r="F29" s="1292"/>
      <c r="G29" s="1292"/>
      <c r="H29" s="1848"/>
      <c r="I29" s="1848"/>
      <c r="J29" s="1834"/>
      <c r="K29" s="1292"/>
      <c r="L29" s="1835"/>
      <c r="M29" s="1835"/>
      <c r="N29" s="1835"/>
      <c r="O29" s="1835"/>
      <c r="P29" s="1835"/>
      <c r="Q29" s="1835"/>
      <c r="R29" s="1836"/>
      <c r="S29" s="1837"/>
    </row>
    <row r="30" spans="1:19" s="52" customFormat="1" ht="15.75">
      <c r="A30" s="1840" t="s">
        <v>122</v>
      </c>
      <c r="B30" s="1839"/>
      <c r="C30" s="1292"/>
      <c r="D30" s="1841"/>
      <c r="E30" s="1830"/>
      <c r="F30" s="1292"/>
      <c r="G30" s="1292"/>
      <c r="H30" s="1848"/>
      <c r="I30" s="1848"/>
      <c r="J30" s="1834"/>
      <c r="K30" s="1292"/>
      <c r="L30" s="1835"/>
      <c r="M30" s="1835"/>
      <c r="N30" s="1835"/>
      <c r="O30" s="1835"/>
      <c r="P30" s="1835"/>
      <c r="Q30" s="1835"/>
      <c r="R30" s="1836"/>
      <c r="S30" s="1837"/>
    </row>
    <row r="31" spans="1:19" s="52" customFormat="1" ht="15.75">
      <c r="A31" s="1840" t="s">
        <v>123</v>
      </c>
      <c r="B31" s="1839"/>
      <c r="C31" s="1838"/>
      <c r="D31" s="1841"/>
      <c r="E31" s="1830"/>
      <c r="F31" s="1292"/>
      <c r="G31" s="1292"/>
      <c r="H31" s="1848"/>
      <c r="I31" s="1848"/>
      <c r="J31" s="1834"/>
      <c r="K31" s="1292"/>
      <c r="L31" s="1835"/>
      <c r="M31" s="1835"/>
      <c r="N31" s="1835"/>
      <c r="O31" s="1835"/>
      <c r="P31" s="1835"/>
      <c r="Q31" s="1835"/>
      <c r="R31" s="1836"/>
      <c r="S31" s="1837"/>
    </row>
    <row r="32" spans="1:19" s="52" customFormat="1" ht="15.75">
      <c r="A32" s="1840" t="s">
        <v>122</v>
      </c>
      <c r="B32" s="1839"/>
      <c r="C32" s="1838"/>
      <c r="D32" s="1841"/>
      <c r="E32" s="1830"/>
      <c r="F32" s="1292"/>
      <c r="G32" s="1292"/>
      <c r="H32" s="1848"/>
      <c r="I32" s="1848"/>
      <c r="J32" s="1834"/>
      <c r="K32" s="1292"/>
      <c r="L32" s="1835"/>
      <c r="M32" s="1835"/>
      <c r="N32" s="1835"/>
      <c r="O32" s="1835"/>
      <c r="P32" s="1835"/>
      <c r="Q32" s="1835"/>
      <c r="R32" s="1836"/>
      <c r="S32" s="1837"/>
    </row>
    <row r="33" spans="1:19" s="52" customFormat="1" ht="15.75">
      <c r="A33" s="1840" t="s">
        <v>123</v>
      </c>
      <c r="B33" s="1839"/>
      <c r="C33" s="1838"/>
      <c r="D33" s="1841"/>
      <c r="E33" s="1830"/>
      <c r="F33" s="1292"/>
      <c r="G33" s="1292"/>
      <c r="H33" s="1848"/>
      <c r="I33" s="1848"/>
      <c r="J33" s="1834"/>
      <c r="K33" s="1292"/>
      <c r="L33" s="1835"/>
      <c r="M33" s="1835"/>
      <c r="N33" s="1835"/>
      <c r="O33" s="1835"/>
      <c r="P33" s="1835"/>
      <c r="Q33" s="1835"/>
      <c r="R33" s="1836"/>
      <c r="S33" s="1837"/>
    </row>
    <row r="34" spans="1:19" s="52" customFormat="1" ht="15.75">
      <c r="A34" s="1840" t="s">
        <v>302</v>
      </c>
      <c r="B34" s="1839"/>
      <c r="C34" s="1838"/>
      <c r="D34" s="1841"/>
      <c r="E34" s="1830"/>
      <c r="F34" s="1292"/>
      <c r="G34" s="1292"/>
      <c r="H34" s="1848"/>
      <c r="I34" s="1848"/>
      <c r="J34" s="1834"/>
      <c r="K34" s="1292"/>
      <c r="L34" s="1835"/>
      <c r="M34" s="1835"/>
      <c r="N34" s="1835"/>
      <c r="O34" s="1835"/>
      <c r="P34" s="1835"/>
      <c r="Q34" s="1835"/>
      <c r="R34" s="1836"/>
      <c r="S34" s="1837"/>
    </row>
    <row r="35" spans="1:19" s="52" customFormat="1" ht="15.75">
      <c r="A35" s="1840" t="s">
        <v>303</v>
      </c>
      <c r="B35" s="1839"/>
      <c r="C35" s="1838"/>
      <c r="D35" s="1841"/>
      <c r="E35" s="1830"/>
      <c r="F35" s="1292"/>
      <c r="G35" s="1292"/>
      <c r="H35" s="1848"/>
      <c r="I35" s="1848"/>
      <c r="J35" s="1834"/>
      <c r="K35" s="1292"/>
      <c r="L35" s="1835"/>
      <c r="M35" s="1835"/>
      <c r="N35" s="1835"/>
      <c r="O35" s="1835"/>
      <c r="P35" s="1835"/>
      <c r="Q35" s="1835"/>
      <c r="R35" s="1836"/>
      <c r="S35" s="1837"/>
    </row>
    <row r="36" spans="1:19" s="52" customFormat="1" ht="15.75">
      <c r="A36" s="1840" t="s">
        <v>625</v>
      </c>
      <c r="B36" s="839"/>
      <c r="C36" s="1838"/>
      <c r="D36" s="1841"/>
      <c r="E36" s="1830"/>
      <c r="F36" s="1292"/>
      <c r="G36" s="1292"/>
      <c r="H36" s="1848"/>
      <c r="I36" s="1848"/>
      <c r="J36" s="1834"/>
      <c r="K36" s="1292"/>
      <c r="L36" s="1835"/>
      <c r="M36" s="1835"/>
      <c r="N36" s="1835"/>
      <c r="O36" s="1835"/>
      <c r="P36" s="1835"/>
      <c r="Q36" s="1835"/>
      <c r="R36" s="1836"/>
      <c r="S36" s="1837"/>
    </row>
    <row r="37" spans="1:19" s="52" customFormat="1" ht="15.75">
      <c r="A37" s="1851"/>
      <c r="B37" s="1852" t="s">
        <v>1275</v>
      </c>
      <c r="C37" s="1841"/>
      <c r="D37" s="1841"/>
      <c r="E37" s="1841"/>
      <c r="F37" s="1841"/>
      <c r="G37" s="1841"/>
      <c r="H37" s="1849"/>
      <c r="I37" s="1849"/>
      <c r="J37" s="1841"/>
      <c r="K37" s="1841"/>
      <c r="L37" s="1850"/>
      <c r="M37" s="1841"/>
      <c r="N37" s="1853"/>
      <c r="O37" s="1854"/>
      <c r="P37" s="1850"/>
      <c r="Q37" s="1841"/>
      <c r="R37" s="1836"/>
      <c r="S37" s="1855">
        <f>SUM(S13:S36)</f>
        <v>0</v>
      </c>
    </row>
    <row r="38" spans="1:19" s="52" customFormat="1" ht="15.75">
      <c r="A38" s="1840">
        <v>4</v>
      </c>
      <c r="B38" s="1944"/>
      <c r="C38" s="1838"/>
      <c r="D38" s="1841"/>
      <c r="E38" s="1841"/>
      <c r="F38" s="1841"/>
      <c r="G38" s="1841"/>
      <c r="H38" s="1841"/>
      <c r="I38" s="1841"/>
      <c r="J38" s="1841"/>
      <c r="K38" s="1292"/>
      <c r="L38" s="1835"/>
      <c r="M38" s="1835"/>
      <c r="N38" s="1853"/>
      <c r="O38" s="1854"/>
      <c r="P38" s="1850"/>
      <c r="Q38" s="1841"/>
      <c r="R38" s="1836"/>
      <c r="S38" s="1837"/>
    </row>
    <row r="39" spans="1:19" s="52" customFormat="1" ht="15.75">
      <c r="A39" s="1840">
        <v>6</v>
      </c>
      <c r="B39" s="1856"/>
      <c r="C39" s="1838"/>
      <c r="D39" s="1841"/>
      <c r="E39" s="1841"/>
      <c r="F39" s="1841"/>
      <c r="G39" s="1841"/>
      <c r="H39" s="1841"/>
      <c r="I39" s="1841"/>
      <c r="J39" s="1841"/>
      <c r="K39" s="1292"/>
      <c r="L39" s="1835"/>
      <c r="M39" s="1835"/>
      <c r="N39" s="1853"/>
      <c r="O39" s="1854"/>
      <c r="P39" s="1850"/>
      <c r="Q39" s="1841"/>
      <c r="R39" s="1836"/>
      <c r="S39" s="1837"/>
    </row>
    <row r="40" spans="1:19" s="52" customFormat="1" ht="15.75">
      <c r="A40" s="1840">
        <v>7</v>
      </c>
      <c r="B40" s="1856"/>
      <c r="C40" s="1838"/>
      <c r="D40" s="1841"/>
      <c r="E40" s="1841"/>
      <c r="F40" s="1841"/>
      <c r="G40" s="1841"/>
      <c r="H40" s="1841"/>
      <c r="I40" s="1841"/>
      <c r="J40" s="1841"/>
      <c r="K40" s="1292"/>
      <c r="L40" s="1835"/>
      <c r="M40" s="1835"/>
      <c r="N40" s="1853"/>
      <c r="O40" s="1854"/>
      <c r="P40" s="1850"/>
      <c r="Q40" s="1841"/>
      <c r="R40" s="1836"/>
      <c r="S40" s="1837"/>
    </row>
    <row r="41" spans="1:19" s="52" customFormat="1" ht="15.75">
      <c r="A41" s="1840">
        <v>8</v>
      </c>
      <c r="B41" s="864"/>
      <c r="C41" s="1838"/>
      <c r="D41" s="1841"/>
      <c r="E41" s="1841"/>
      <c r="F41" s="1841"/>
      <c r="G41" s="1841"/>
      <c r="H41" s="1841"/>
      <c r="I41" s="1841"/>
      <c r="J41" s="1841"/>
      <c r="K41" s="1292"/>
      <c r="L41" s="1835"/>
      <c r="M41" s="1835"/>
      <c r="N41" s="1853"/>
      <c r="O41" s="1854"/>
      <c r="P41" s="1850"/>
      <c r="Q41" s="1841"/>
      <c r="R41" s="1836"/>
      <c r="S41" s="1837"/>
    </row>
    <row r="42" spans="1:19" s="52" customFormat="1" ht="15.75">
      <c r="A42" s="1840">
        <v>9</v>
      </c>
      <c r="B42" s="839"/>
      <c r="C42" s="1838"/>
      <c r="D42" s="1841"/>
      <c r="E42" s="1841"/>
      <c r="F42" s="1841"/>
      <c r="G42" s="1841"/>
      <c r="H42" s="1841"/>
      <c r="I42" s="1841"/>
      <c r="J42" s="1841"/>
      <c r="K42" s="1292"/>
      <c r="L42" s="1835"/>
      <c r="M42" s="1835"/>
      <c r="N42" s="1853"/>
      <c r="O42" s="1854"/>
      <c r="P42" s="1850"/>
      <c r="Q42" s="1841"/>
      <c r="R42" s="1836"/>
      <c r="S42" s="1837"/>
    </row>
    <row r="43" spans="1:19" s="52" customFormat="1" ht="15.75">
      <c r="A43" s="1851">
        <v>10</v>
      </c>
      <c r="B43" s="865" t="s">
        <v>631</v>
      </c>
      <c r="C43" s="1841"/>
      <c r="D43" s="1841"/>
      <c r="E43" s="1841"/>
      <c r="F43" s="1841"/>
      <c r="G43" s="1841"/>
      <c r="H43" s="1841"/>
      <c r="I43" s="1841"/>
      <c r="J43" s="1841"/>
      <c r="K43" s="1841"/>
      <c r="L43" s="1844"/>
      <c r="M43" s="1841"/>
      <c r="N43" s="1853"/>
      <c r="O43" s="1854"/>
      <c r="P43" s="1850"/>
      <c r="Q43" s="1841"/>
      <c r="R43" s="1836"/>
      <c r="S43" s="1855">
        <f>SUM(S38:S42)</f>
        <v>0</v>
      </c>
    </row>
    <row r="44" spans="1:19" s="52" customFormat="1" ht="15.75">
      <c r="A44" s="1851">
        <v>11</v>
      </c>
      <c r="B44" s="866" t="s">
        <v>632</v>
      </c>
      <c r="C44" s="1841"/>
      <c r="D44" s="1841"/>
      <c r="E44" s="1841"/>
      <c r="F44" s="1841"/>
      <c r="G44" s="1841"/>
      <c r="H44" s="1841"/>
      <c r="I44" s="1841"/>
      <c r="J44" s="1841"/>
      <c r="K44" s="1841"/>
      <c r="L44" s="1844"/>
      <c r="M44" s="1841"/>
      <c r="N44" s="1853"/>
      <c r="O44" s="1854"/>
      <c r="P44" s="1850"/>
      <c r="Q44" s="1841"/>
      <c r="R44" s="1836"/>
      <c r="S44" s="1855"/>
    </row>
    <row r="45" spans="1:19" s="52" customFormat="1" ht="15.75">
      <c r="A45" s="1857" t="s">
        <v>633</v>
      </c>
      <c r="B45" s="868"/>
      <c r="C45" s="1838"/>
      <c r="D45" s="1841"/>
      <c r="E45" s="1841"/>
      <c r="F45" s="1292"/>
      <c r="G45" s="1292"/>
      <c r="H45" s="1292"/>
      <c r="I45" s="1292"/>
      <c r="J45" s="1834"/>
      <c r="K45" s="1292"/>
      <c r="L45" s="1835"/>
      <c r="M45" s="1835"/>
      <c r="N45" s="1835"/>
      <c r="O45" s="1835"/>
      <c r="P45" s="1835"/>
      <c r="Q45" s="1835"/>
      <c r="R45" s="1836"/>
      <c r="S45" s="1837"/>
    </row>
    <row r="46" spans="1:19" s="52" customFormat="1" ht="15.75">
      <c r="A46" s="1857" t="s">
        <v>634</v>
      </c>
      <c r="B46" s="868"/>
      <c r="C46" s="1838"/>
      <c r="D46" s="1841"/>
      <c r="E46" s="1841"/>
      <c r="F46" s="1292"/>
      <c r="G46" s="1292"/>
      <c r="H46" s="1292"/>
      <c r="I46" s="1292"/>
      <c r="J46" s="1834"/>
      <c r="K46" s="1292"/>
      <c r="L46" s="1835"/>
      <c r="M46" s="1835"/>
      <c r="N46" s="1835"/>
      <c r="O46" s="1835"/>
      <c r="P46" s="1835"/>
      <c r="Q46" s="1835"/>
      <c r="R46" s="1836"/>
      <c r="S46" s="1837"/>
    </row>
    <row r="47" spans="1:19" s="52" customFormat="1" ht="15.75">
      <c r="A47" s="1857" t="s">
        <v>635</v>
      </c>
      <c r="B47" s="868"/>
      <c r="C47" s="1838"/>
      <c r="D47" s="1841"/>
      <c r="E47" s="1841"/>
      <c r="F47" s="1292"/>
      <c r="G47" s="1292"/>
      <c r="H47" s="1292"/>
      <c r="I47" s="1292"/>
      <c r="J47" s="1834"/>
      <c r="K47" s="1292"/>
      <c r="L47" s="1835"/>
      <c r="M47" s="1835"/>
      <c r="N47" s="1835"/>
      <c r="O47" s="1835"/>
      <c r="P47" s="1835"/>
      <c r="Q47" s="1835"/>
      <c r="R47" s="1836"/>
      <c r="S47" s="1837"/>
    </row>
    <row r="48" spans="1:19" s="52" customFormat="1" ht="15.75">
      <c r="A48" s="1857" t="s">
        <v>636</v>
      </c>
      <c r="B48" s="868"/>
      <c r="C48" s="1838"/>
      <c r="D48" s="1841"/>
      <c r="E48" s="1841"/>
      <c r="F48" s="1292"/>
      <c r="G48" s="1292"/>
      <c r="H48" s="1292"/>
      <c r="I48" s="1292"/>
      <c r="J48" s="1841"/>
      <c r="K48" s="1292"/>
      <c r="L48" s="1835"/>
      <c r="M48" s="1835"/>
      <c r="N48" s="1835"/>
      <c r="O48" s="1835"/>
      <c r="P48" s="1835"/>
      <c r="Q48" s="1835"/>
      <c r="R48" s="1836"/>
      <c r="S48" s="1837"/>
    </row>
    <row r="49" spans="1:19" s="52" customFormat="1" ht="15.75">
      <c r="A49" s="1857" t="s">
        <v>637</v>
      </c>
      <c r="B49" s="868"/>
      <c r="C49" s="1838"/>
      <c r="D49" s="1841"/>
      <c r="E49" s="1841"/>
      <c r="F49" s="1292"/>
      <c r="G49" s="1292"/>
      <c r="H49" s="1292"/>
      <c r="I49" s="1292"/>
      <c r="J49" s="1841"/>
      <c r="K49" s="1292"/>
      <c r="L49" s="1835"/>
      <c r="M49" s="1835"/>
      <c r="N49" s="1835"/>
      <c r="O49" s="1835"/>
      <c r="P49" s="1835"/>
      <c r="Q49" s="1835"/>
      <c r="R49" s="1836"/>
      <c r="S49" s="1837"/>
    </row>
    <row r="50" spans="1:19" s="52" customFormat="1" ht="15.75">
      <c r="A50" s="1857" t="s">
        <v>638</v>
      </c>
      <c r="B50" s="868"/>
      <c r="C50" s="1838"/>
      <c r="D50" s="1841"/>
      <c r="E50" s="1841"/>
      <c r="F50" s="1292"/>
      <c r="G50" s="1292"/>
      <c r="H50" s="1292"/>
      <c r="I50" s="1292"/>
      <c r="J50" s="1834"/>
      <c r="K50" s="1292"/>
      <c r="L50" s="1835"/>
      <c r="M50" s="1835"/>
      <c r="N50" s="1835"/>
      <c r="O50" s="1835"/>
      <c r="P50" s="1835"/>
      <c r="Q50" s="1835"/>
      <c r="R50" s="1836"/>
      <c r="S50" s="1837"/>
    </row>
    <row r="51" spans="1:19" s="52" customFormat="1" ht="15.75">
      <c r="A51" s="1857" t="s">
        <v>639</v>
      </c>
      <c r="B51" s="868"/>
      <c r="C51" s="1838"/>
      <c r="D51" s="1841"/>
      <c r="E51" s="1841"/>
      <c r="F51" s="1292"/>
      <c r="G51" s="1292"/>
      <c r="H51" s="1292"/>
      <c r="I51" s="1292"/>
      <c r="J51" s="1834"/>
      <c r="K51" s="1292"/>
      <c r="L51" s="1835"/>
      <c r="M51" s="1835"/>
      <c r="N51" s="1835"/>
      <c r="O51" s="1835"/>
      <c r="P51" s="1835"/>
      <c r="Q51" s="1835"/>
      <c r="R51" s="1836"/>
      <c r="S51" s="1837"/>
    </row>
    <row r="52" spans="1:19" s="52" customFormat="1" ht="15.75">
      <c r="A52" s="1857" t="s">
        <v>640</v>
      </c>
      <c r="B52" s="868"/>
      <c r="C52" s="1838"/>
      <c r="D52" s="1830"/>
      <c r="E52" s="1858"/>
      <c r="F52" s="1292"/>
      <c r="G52" s="1292"/>
      <c r="H52" s="1292"/>
      <c r="I52" s="1292"/>
      <c r="J52" s="1834"/>
      <c r="K52" s="1292"/>
      <c r="L52" s="1835"/>
      <c r="M52" s="1835"/>
      <c r="N52" s="1835"/>
      <c r="O52" s="1835"/>
      <c r="P52" s="1835"/>
      <c r="Q52" s="1835"/>
      <c r="R52" s="1836"/>
      <c r="S52" s="1837"/>
    </row>
    <row r="53" spans="1:19" s="52" customFormat="1" ht="15.75">
      <c r="A53" s="1857" t="s">
        <v>641</v>
      </c>
      <c r="B53" s="868"/>
      <c r="C53" s="1838"/>
      <c r="D53" s="1841"/>
      <c r="E53" s="1841"/>
      <c r="F53" s="1292"/>
      <c r="G53" s="1292"/>
      <c r="H53" s="1292"/>
      <c r="I53" s="1292"/>
      <c r="J53" s="1834"/>
      <c r="K53" s="1292"/>
      <c r="L53" s="1835"/>
      <c r="M53" s="1835"/>
      <c r="N53" s="1835"/>
      <c r="O53" s="1835"/>
      <c r="P53" s="1835"/>
      <c r="Q53" s="1835"/>
      <c r="R53" s="1836"/>
      <c r="S53" s="1837"/>
    </row>
    <row r="54" spans="1:19" s="52" customFormat="1" ht="15.75">
      <c r="A54" s="1857" t="s">
        <v>642</v>
      </c>
      <c r="B54" s="868"/>
      <c r="C54" s="1838"/>
      <c r="D54" s="1841"/>
      <c r="E54" s="1841"/>
      <c r="F54" s="1292"/>
      <c r="G54" s="1292"/>
      <c r="H54" s="1292"/>
      <c r="I54" s="1292"/>
      <c r="J54" s="1834"/>
      <c r="K54" s="1292"/>
      <c r="L54" s="1835"/>
      <c r="M54" s="1835"/>
      <c r="N54" s="1835"/>
      <c r="O54" s="1835"/>
      <c r="P54" s="1835"/>
      <c r="Q54" s="1835"/>
      <c r="R54" s="1836"/>
      <c r="S54" s="1837"/>
    </row>
    <row r="55" spans="1:19" s="52" customFormat="1" ht="15.75">
      <c r="A55" s="1857"/>
      <c r="B55" s="865" t="s">
        <v>67</v>
      </c>
      <c r="C55" s="1841"/>
      <c r="D55" s="1841"/>
      <c r="E55" s="1841"/>
      <c r="F55" s="1292"/>
      <c r="G55" s="1292"/>
      <c r="H55" s="1292"/>
      <c r="I55" s="1292"/>
      <c r="J55" s="1834"/>
      <c r="K55" s="1292"/>
      <c r="L55" s="1835"/>
      <c r="M55" s="1835"/>
      <c r="N55" s="1835"/>
      <c r="O55" s="1835"/>
      <c r="P55" s="1835"/>
      <c r="Q55" s="1835"/>
      <c r="R55" s="1836"/>
      <c r="S55" s="1855">
        <f>SUM(S45:S54)</f>
        <v>0</v>
      </c>
    </row>
    <row r="56" spans="1:19" s="52" customFormat="1" ht="15.75">
      <c r="A56" s="1840">
        <v>12</v>
      </c>
      <c r="B56" s="839" t="s">
        <v>643</v>
      </c>
      <c r="C56" s="1841"/>
      <c r="D56" s="1841"/>
      <c r="E56" s="1841"/>
      <c r="F56" s="1841"/>
      <c r="G56" s="1841"/>
      <c r="H56" s="1841"/>
      <c r="I56" s="1841"/>
      <c r="J56" s="1841"/>
      <c r="K56" s="1841"/>
      <c r="L56" s="1859"/>
      <c r="M56" s="1841"/>
      <c r="N56" s="1845"/>
      <c r="O56" s="1860"/>
      <c r="P56" s="1860"/>
      <c r="Q56" s="1841"/>
      <c r="R56" s="1836"/>
      <c r="S56" s="1855"/>
    </row>
    <row r="57" spans="1:19" s="52" customFormat="1" ht="15.75">
      <c r="A57" s="1840">
        <v>13</v>
      </c>
      <c r="B57" s="839" t="s">
        <v>1268</v>
      </c>
      <c r="C57" s="1841"/>
      <c r="D57" s="1841"/>
      <c r="E57" s="1841"/>
      <c r="F57" s="1841"/>
      <c r="G57" s="1841"/>
      <c r="H57" s="1841"/>
      <c r="I57" s="1841"/>
      <c r="J57" s="1841"/>
      <c r="K57" s="1841"/>
      <c r="L57" s="1859"/>
      <c r="M57" s="1841"/>
      <c r="N57" s="1845"/>
      <c r="O57" s="1860"/>
      <c r="P57" s="1860"/>
      <c r="Q57" s="1841"/>
      <c r="R57" s="1836"/>
      <c r="S57" s="1855"/>
    </row>
    <row r="58" spans="1:19" s="52" customFormat="1" ht="15.75">
      <c r="A58" s="1861">
        <v>14</v>
      </c>
      <c r="B58" s="839" t="s">
        <v>1269</v>
      </c>
      <c r="C58" s="1862"/>
      <c r="D58" s="1862"/>
      <c r="E58" s="1862"/>
      <c r="F58" s="1862"/>
      <c r="G58" s="1862"/>
      <c r="H58" s="1862"/>
      <c r="I58" s="1862"/>
      <c r="J58" s="1862"/>
      <c r="K58" s="1862"/>
      <c r="L58" s="1863"/>
      <c r="M58" s="1862"/>
      <c r="N58" s="1864"/>
      <c r="O58" s="1865"/>
      <c r="P58" s="1865"/>
      <c r="Q58" s="1862"/>
      <c r="R58" s="1866"/>
      <c r="S58" s="1855"/>
    </row>
    <row r="59" spans="1:19" s="52" customFormat="1" ht="15.75">
      <c r="A59" s="1867">
        <v>15</v>
      </c>
      <c r="B59" s="1868" t="s">
        <v>67</v>
      </c>
      <c r="C59" s="1862"/>
      <c r="D59" s="1862"/>
      <c r="E59" s="1862"/>
      <c r="F59" s="1862"/>
      <c r="G59" s="1862"/>
      <c r="H59" s="1862"/>
      <c r="I59" s="1862"/>
      <c r="J59" s="1862"/>
      <c r="K59" s="1862"/>
      <c r="L59" s="1863"/>
      <c r="M59" s="1862"/>
      <c r="N59" s="1864"/>
      <c r="O59" s="1865"/>
      <c r="P59" s="1865"/>
      <c r="Q59" s="1862"/>
      <c r="R59" s="1866"/>
      <c r="S59" s="1855">
        <f>S37+S43+S55+S56+S57+S58</f>
        <v>0</v>
      </c>
    </row>
    <row r="60" spans="1:19" s="52" customFormat="1" ht="15.75">
      <c r="A60" s="1867">
        <v>16</v>
      </c>
      <c r="B60" s="1869" t="s">
        <v>1273</v>
      </c>
      <c r="C60" s="1862"/>
      <c r="D60" s="1862"/>
      <c r="E60" s="1862"/>
      <c r="F60" s="1862"/>
      <c r="G60" s="1862"/>
      <c r="H60" s="1862"/>
      <c r="I60" s="1862"/>
      <c r="J60" s="1862"/>
      <c r="K60" s="1292"/>
      <c r="L60" s="1835"/>
      <c r="M60" s="1835"/>
      <c r="N60" s="1864"/>
      <c r="O60" s="1865"/>
      <c r="P60" s="1865"/>
      <c r="Q60" s="1862"/>
      <c r="R60" s="1866"/>
      <c r="S60" s="1837"/>
    </row>
    <row r="61" spans="1:19" s="52" customFormat="1" ht="15.75">
      <c r="A61" s="1867">
        <v>17</v>
      </c>
      <c r="B61" s="1869" t="s">
        <v>1273</v>
      </c>
      <c r="C61" s="1870"/>
      <c r="D61" s="1870"/>
      <c r="E61" s="1870"/>
      <c r="F61" s="1870"/>
      <c r="G61" s="1870"/>
      <c r="H61" s="1870"/>
      <c r="I61" s="1870"/>
      <c r="J61" s="1870"/>
      <c r="K61" s="1292"/>
      <c r="L61" s="1835"/>
      <c r="M61" s="1835"/>
      <c r="N61" s="1871"/>
      <c r="O61" s="1871"/>
      <c r="P61" s="1872"/>
      <c r="Q61" s="1870"/>
      <c r="R61" s="1870"/>
      <c r="S61" s="1837"/>
    </row>
    <row r="62" spans="1:19" s="52" customFormat="1" ht="15.75">
      <c r="A62" s="1867"/>
      <c r="B62" s="1943" t="s">
        <v>274</v>
      </c>
      <c r="C62" s="1873"/>
      <c r="D62" s="1873"/>
      <c r="E62" s="1873"/>
      <c r="F62" s="1873"/>
      <c r="G62" s="1873"/>
      <c r="H62" s="1874"/>
      <c r="I62" s="1874"/>
      <c r="J62" s="1873"/>
      <c r="K62" s="1873"/>
      <c r="L62" s="1875"/>
      <c r="M62" s="1876"/>
      <c r="N62" s="1877"/>
      <c r="O62" s="1877"/>
      <c r="P62" s="1875"/>
      <c r="Q62" s="1873"/>
      <c r="R62" s="1878"/>
      <c r="S62" s="1879"/>
    </row>
    <row r="63" spans="1:19" s="52" customFormat="1" ht="15.75">
      <c r="A63" s="1867"/>
      <c r="B63" s="1943" t="s">
        <v>399</v>
      </c>
      <c r="C63" s="1873"/>
      <c r="D63" s="1873"/>
      <c r="E63" s="1873"/>
      <c r="F63" s="1873"/>
      <c r="G63" s="1873"/>
      <c r="H63" s="1874"/>
      <c r="I63" s="1874"/>
      <c r="J63" s="1876"/>
      <c r="K63" s="1880"/>
      <c r="L63" s="1875"/>
      <c r="M63" s="1876"/>
      <c r="N63" s="1877"/>
      <c r="O63" s="1877"/>
      <c r="P63" s="1875"/>
      <c r="Q63" s="1873"/>
      <c r="R63" s="1878"/>
      <c r="S63" s="1879"/>
    </row>
    <row r="64" spans="1:19" s="52" customFormat="1" ht="15.75">
      <c r="A64" s="1867"/>
      <c r="B64" s="1943" t="s">
        <v>275</v>
      </c>
      <c r="C64" s="1873"/>
      <c r="D64" s="1873"/>
      <c r="E64" s="1873"/>
      <c r="F64" s="1873"/>
      <c r="G64" s="1873"/>
      <c r="H64" s="1874"/>
      <c r="I64" s="1874"/>
      <c r="J64" s="1873"/>
      <c r="K64" s="1873"/>
      <c r="L64" s="1875"/>
      <c r="M64" s="1873"/>
      <c r="N64" s="1877"/>
      <c r="O64" s="1877"/>
      <c r="P64" s="1875"/>
      <c r="Q64" s="1873"/>
      <c r="R64" s="1878"/>
      <c r="S64" s="1879"/>
    </row>
    <row r="65" spans="1:20" s="52" customFormat="1" ht="15.75">
      <c r="A65" s="1867"/>
      <c r="B65" s="1943" t="s">
        <v>326</v>
      </c>
      <c r="C65" s="1873"/>
      <c r="D65" s="1873"/>
      <c r="E65" s="1873"/>
      <c r="F65" s="1873"/>
      <c r="G65" s="1873"/>
      <c r="H65" s="1874"/>
      <c r="I65" s="1874"/>
      <c r="J65" s="1873"/>
      <c r="K65" s="1873"/>
      <c r="L65" s="1875"/>
      <c r="M65" s="1873"/>
      <c r="N65" s="1877"/>
      <c r="O65" s="1877"/>
      <c r="P65" s="1875"/>
      <c r="Q65" s="1873"/>
      <c r="R65" s="1878"/>
      <c r="S65" s="1881"/>
    </row>
    <row r="66" spans="1:20" s="52" customFormat="1" ht="15.75">
      <c r="A66" s="1867">
        <v>18</v>
      </c>
      <c r="B66" s="1868" t="s">
        <v>67</v>
      </c>
      <c r="C66" s="1870"/>
      <c r="D66" s="1870"/>
      <c r="E66" s="1870"/>
      <c r="F66" s="1870"/>
      <c r="G66" s="1870"/>
      <c r="H66" s="1870"/>
      <c r="I66" s="1870"/>
      <c r="J66" s="1870"/>
      <c r="K66" s="1870"/>
      <c r="L66" s="1871"/>
      <c r="M66" s="1870"/>
      <c r="N66" s="1871"/>
      <c r="O66" s="1871"/>
      <c r="P66" s="1872"/>
      <c r="Q66" s="1870"/>
      <c r="R66" s="1870"/>
      <c r="S66" s="1855">
        <f>SUM(S59:S65)</f>
        <v>0</v>
      </c>
    </row>
    <row r="67" spans="1:20" s="52" customFormat="1" ht="15.75">
      <c r="A67" s="1882">
        <v>19</v>
      </c>
      <c r="B67" s="1868" t="s">
        <v>401</v>
      </c>
      <c r="C67" s="1883"/>
      <c r="D67" s="1883"/>
      <c r="E67" s="1883"/>
      <c r="F67" s="1883"/>
      <c r="G67" s="1883"/>
      <c r="H67" s="1883"/>
      <c r="I67" s="1883"/>
      <c r="J67" s="1883"/>
      <c r="K67" s="1883"/>
      <c r="L67" s="1884"/>
      <c r="M67" s="1883"/>
      <c r="N67" s="1884"/>
      <c r="O67" s="1884"/>
      <c r="P67" s="1885"/>
      <c r="Q67" s="1883"/>
      <c r="R67" s="1883"/>
      <c r="S67" s="1855">
        <f>S66*0.2</f>
        <v>0</v>
      </c>
    </row>
    <row r="68" spans="1:20" s="52" customFormat="1" ht="16.5" thickBot="1">
      <c r="A68" s="1886">
        <v>20</v>
      </c>
      <c r="B68" s="1887" t="s">
        <v>70</v>
      </c>
      <c r="C68" s="1888"/>
      <c r="D68" s="1888"/>
      <c r="E68" s="1888"/>
      <c r="F68" s="1888"/>
      <c r="G68" s="1888"/>
      <c r="H68" s="1888"/>
      <c r="I68" s="1888"/>
      <c r="J68" s="1888"/>
      <c r="K68" s="1888"/>
      <c r="L68" s="1889"/>
      <c r="M68" s="1888"/>
      <c r="N68" s="1889"/>
      <c r="O68" s="1889"/>
      <c r="P68" s="1890"/>
      <c r="Q68" s="1888"/>
      <c r="R68" s="1888"/>
      <c r="S68" s="1891">
        <f>SUM(S66:S67)</f>
        <v>0</v>
      </c>
    </row>
    <row r="69" spans="1:20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20">
      <c r="A70" s="56"/>
      <c r="B70" s="53"/>
      <c r="C70" s="55"/>
      <c r="D70" s="55"/>
      <c r="E70" s="53"/>
      <c r="F70" s="53"/>
      <c r="G70" s="53"/>
      <c r="H70" s="53"/>
      <c r="I70" s="53"/>
      <c r="J70" s="53"/>
    </row>
    <row r="71" spans="1:20" ht="15.75">
      <c r="A71" s="2310" t="s">
        <v>589</v>
      </c>
      <c r="B71" s="2310"/>
      <c r="C71" s="2310"/>
      <c r="D71" s="2310"/>
      <c r="E71" s="2310"/>
      <c r="F71" s="2310"/>
      <c r="G71" s="2310"/>
      <c r="H71" s="2310"/>
      <c r="I71" s="2310"/>
      <c r="J71" s="2310"/>
      <c r="K71" s="2310"/>
      <c r="L71" s="2310"/>
      <c r="M71" s="2310"/>
      <c r="N71" s="2310"/>
      <c r="O71" s="2310"/>
      <c r="P71" s="2310"/>
      <c r="Q71" s="2310"/>
      <c r="R71" s="2310"/>
      <c r="S71" s="2310"/>
    </row>
    <row r="72" spans="1:20" s="434" customFormat="1" ht="15.75">
      <c r="B72" s="2312" t="s">
        <v>415</v>
      </c>
      <c r="C72" s="2312"/>
      <c r="D72" s="2312"/>
      <c r="E72" s="2312"/>
      <c r="F72" s="2312"/>
      <c r="G72" s="2312"/>
      <c r="H72" s="2312"/>
      <c r="I72" s="2312"/>
      <c r="J72" s="2312"/>
      <c r="K72" s="2312"/>
      <c r="L72" s="2312"/>
      <c r="M72" s="2312"/>
      <c r="N72" s="2312"/>
      <c r="O72" s="2312"/>
      <c r="P72" s="2312"/>
      <c r="Q72" s="2312"/>
      <c r="R72" s="2312"/>
      <c r="S72" s="2312"/>
    </row>
    <row r="73" spans="1:20" s="434" customFormat="1" ht="16.5" thickBot="1">
      <c r="B73" s="1892"/>
      <c r="C73" s="1892"/>
      <c r="D73" s="1892"/>
      <c r="E73" s="1892"/>
      <c r="F73" s="1892"/>
      <c r="G73" s="1892"/>
      <c r="H73" s="1892"/>
      <c r="I73" s="1892"/>
      <c r="J73" s="1892"/>
      <c r="K73" s="1892"/>
      <c r="L73" s="1892"/>
      <c r="M73" s="1892"/>
      <c r="N73" s="1892"/>
      <c r="O73" s="1892"/>
      <c r="P73" s="1892"/>
      <c r="Q73" s="1892"/>
      <c r="R73" s="1892"/>
      <c r="S73" s="1892"/>
    </row>
    <row r="74" spans="1:20" s="1815" customFormat="1" ht="17.25" thickTop="1" thickBot="1">
      <c r="B74" s="1816" t="s">
        <v>585</v>
      </c>
      <c r="C74" s="1817"/>
      <c r="D74" s="1818"/>
      <c r="E74" s="1817"/>
      <c r="F74" s="1817"/>
      <c r="G74" s="1819"/>
      <c r="H74" s="2308">
        <f>H6</f>
        <v>0</v>
      </c>
      <c r="I74" s="2309"/>
      <c r="J74" s="1819"/>
      <c r="K74" s="2308" t="s">
        <v>586</v>
      </c>
      <c r="L74" s="2309"/>
      <c r="M74" s="1819" t="s">
        <v>317</v>
      </c>
      <c r="N74" s="495">
        <f>N7</f>
        <v>0</v>
      </c>
      <c r="O74" s="1893"/>
      <c r="P74" s="1819"/>
      <c r="Q74" s="1894"/>
      <c r="R74" s="1819"/>
      <c r="S74" s="1817"/>
      <c r="T74" s="1817"/>
    </row>
    <row r="75" spans="1:20" ht="14.25" thickTop="1" thickBot="1">
      <c r="A75" s="44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50"/>
      <c r="M75" s="51"/>
      <c r="N75" s="45"/>
      <c r="O75" s="45"/>
      <c r="P75" s="46"/>
      <c r="Q75" s="886">
        <f>Q8</f>
        <v>0</v>
      </c>
      <c r="R75" s="47"/>
      <c r="S75" s="887" t="s">
        <v>62</v>
      </c>
    </row>
    <row r="76" spans="1:20" s="52" customFormat="1" ht="60">
      <c r="A76" s="2301" t="s">
        <v>0</v>
      </c>
      <c r="B76" s="2303" t="s">
        <v>55</v>
      </c>
      <c r="C76" s="1789" t="s">
        <v>56</v>
      </c>
      <c r="D76" s="1789" t="s">
        <v>167</v>
      </c>
      <c r="E76" s="1789" t="s">
        <v>168</v>
      </c>
      <c r="F76" s="2305" t="s">
        <v>170</v>
      </c>
      <c r="G76" s="2305"/>
      <c r="H76" s="2305" t="s">
        <v>171</v>
      </c>
      <c r="I76" s="2305"/>
      <c r="J76" s="1789" t="s">
        <v>174</v>
      </c>
      <c r="K76" s="1789" t="s">
        <v>100</v>
      </c>
      <c r="L76" s="1787" t="s">
        <v>158</v>
      </c>
      <c r="M76" s="1789" t="s">
        <v>57</v>
      </c>
      <c r="N76" s="1787" t="s">
        <v>169</v>
      </c>
      <c r="O76" s="1787" t="s">
        <v>71</v>
      </c>
      <c r="P76" s="31" t="s">
        <v>58</v>
      </c>
      <c r="Q76" s="1789" t="s">
        <v>59</v>
      </c>
      <c r="R76" s="1789" t="s">
        <v>60</v>
      </c>
      <c r="S76" s="32" t="s">
        <v>61</v>
      </c>
    </row>
    <row r="77" spans="1:20" s="52" customFormat="1" ht="15">
      <c r="A77" s="2302"/>
      <c r="B77" s="2304"/>
      <c r="C77" s="34" t="s">
        <v>63</v>
      </c>
      <c r="D77" s="34" t="s">
        <v>160</v>
      </c>
      <c r="E77" s="34" t="s">
        <v>66</v>
      </c>
      <c r="F77" s="34" t="s">
        <v>808</v>
      </c>
      <c r="G77" s="34" t="s">
        <v>809</v>
      </c>
      <c r="H77" s="34" t="s">
        <v>101</v>
      </c>
      <c r="I77" s="34" t="s">
        <v>102</v>
      </c>
      <c r="J77" s="34" t="s">
        <v>161</v>
      </c>
      <c r="K77" s="34" t="s">
        <v>161</v>
      </c>
      <c r="L77" s="1788" t="s">
        <v>64</v>
      </c>
      <c r="M77" s="34" t="s">
        <v>65</v>
      </c>
      <c r="N77" s="35" t="s">
        <v>66</v>
      </c>
      <c r="O77" s="35" t="s">
        <v>66</v>
      </c>
      <c r="P77" s="36" t="s">
        <v>65</v>
      </c>
      <c r="Q77" s="37" t="s">
        <v>65</v>
      </c>
      <c r="R77" s="37" t="s">
        <v>65</v>
      </c>
      <c r="S77" s="38" t="s">
        <v>65</v>
      </c>
    </row>
    <row r="78" spans="1:20" ht="15">
      <c r="A78" s="41">
        <v>1</v>
      </c>
      <c r="B78" s="39">
        <v>2</v>
      </c>
      <c r="C78" s="39">
        <v>3</v>
      </c>
      <c r="D78" s="39">
        <v>4</v>
      </c>
      <c r="E78" s="39">
        <v>5</v>
      </c>
      <c r="F78" s="39">
        <v>6</v>
      </c>
      <c r="G78" s="40" t="s">
        <v>91</v>
      </c>
      <c r="H78" s="40" t="s">
        <v>92</v>
      </c>
      <c r="I78" s="40" t="s">
        <v>93</v>
      </c>
      <c r="J78" s="39">
        <v>10</v>
      </c>
      <c r="K78" s="40" t="s">
        <v>94</v>
      </c>
      <c r="L78" s="39">
        <v>12</v>
      </c>
      <c r="M78" s="40" t="s">
        <v>95</v>
      </c>
      <c r="N78" s="39">
        <v>14</v>
      </c>
      <c r="O78" s="40" t="s">
        <v>96</v>
      </c>
      <c r="P78" s="40">
        <v>16</v>
      </c>
      <c r="Q78" s="40" t="s">
        <v>97</v>
      </c>
      <c r="R78" s="40" t="s">
        <v>97</v>
      </c>
      <c r="S78" s="140" t="s">
        <v>99</v>
      </c>
    </row>
    <row r="79" spans="1:20" s="431" customFormat="1" ht="15.75">
      <c r="A79" s="1843">
        <v>1</v>
      </c>
      <c r="B79" s="833" t="s">
        <v>647</v>
      </c>
      <c r="C79" s="1841"/>
      <c r="D79" s="1841"/>
      <c r="E79" s="1841"/>
      <c r="F79" s="1841"/>
      <c r="G79" s="1841"/>
      <c r="H79" s="1841"/>
      <c r="I79" s="1841"/>
      <c r="J79" s="1834"/>
      <c r="K79" s="1841"/>
      <c r="L79" s="1844"/>
      <c r="M79" s="1841"/>
      <c r="N79" s="1845"/>
      <c r="O79" s="1845"/>
      <c r="P79" s="1846"/>
      <c r="Q79" s="1841"/>
      <c r="R79" s="1836"/>
      <c r="S79" s="1847"/>
    </row>
    <row r="80" spans="1:20" s="431" customFormat="1" ht="15.75">
      <c r="A80" s="1857" t="s">
        <v>421</v>
      </c>
      <c r="B80" s="839" t="s">
        <v>608</v>
      </c>
      <c r="C80" s="1292">
        <v>12</v>
      </c>
      <c r="D80" s="1841"/>
      <c r="E80" s="1830">
        <f>N74</f>
        <v>0</v>
      </c>
      <c r="F80" s="1292">
        <f>F25</f>
        <v>0</v>
      </c>
      <c r="G80" s="1292">
        <f>G25</f>
        <v>0</v>
      </c>
      <c r="H80" s="1848" t="e">
        <f>E80/F80</f>
        <v>#DIV/0!</v>
      </c>
      <c r="I80" s="1848" t="e">
        <f>E80/G80</f>
        <v>#DIV/0!</v>
      </c>
      <c r="J80" s="1834">
        <v>2.75</v>
      </c>
      <c r="K80" s="1292" t="e">
        <f>(H80+I80+J80)*C80</f>
        <v>#DIV/0!</v>
      </c>
      <c r="L80" s="1835">
        <f>L13</f>
        <v>0</v>
      </c>
      <c r="M80" s="1835" t="e">
        <f>L80*K80</f>
        <v>#DIV/0!</v>
      </c>
      <c r="N80" s="1835">
        <f>E80*2</f>
        <v>0</v>
      </c>
      <c r="O80" s="1835">
        <f>N80*C80</f>
        <v>0</v>
      </c>
      <c r="P80" s="1835">
        <f>P13</f>
        <v>0</v>
      </c>
      <c r="Q80" s="1835">
        <f>P80*O80</f>
        <v>0</v>
      </c>
      <c r="R80" s="1836"/>
      <c r="S80" s="1837" t="e">
        <f>M80+Q80</f>
        <v>#DIV/0!</v>
      </c>
    </row>
    <row r="81" spans="1:19" s="431" customFormat="1" ht="15.75">
      <c r="A81" s="1840" t="s">
        <v>5</v>
      </c>
      <c r="B81" s="833" t="s">
        <v>1188</v>
      </c>
      <c r="C81" s="1841"/>
      <c r="D81" s="1841"/>
      <c r="E81" s="1841"/>
      <c r="F81" s="1841"/>
      <c r="G81" s="1841"/>
      <c r="H81" s="1849"/>
      <c r="I81" s="1849"/>
      <c r="J81" s="1834"/>
      <c r="K81" s="1841"/>
      <c r="L81" s="1850"/>
      <c r="M81" s="1841"/>
      <c r="N81" s="1835"/>
      <c r="O81" s="1835"/>
      <c r="P81" s="1850"/>
      <c r="Q81" s="1835"/>
      <c r="R81" s="1836"/>
      <c r="S81" s="1837"/>
    </row>
    <row r="82" spans="1:19" s="431" customFormat="1" ht="15.75">
      <c r="A82" s="1840" t="s">
        <v>7</v>
      </c>
      <c r="B82" s="1839" t="s">
        <v>623</v>
      </c>
      <c r="C82" s="1292">
        <f>C27</f>
        <v>0</v>
      </c>
      <c r="D82" s="1841"/>
      <c r="E82" s="1830">
        <f>E80</f>
        <v>0</v>
      </c>
      <c r="F82" s="1292">
        <f t="shared" ref="F82:G84" si="0">F27</f>
        <v>0</v>
      </c>
      <c r="G82" s="1292">
        <f t="shared" si="0"/>
        <v>0</v>
      </c>
      <c r="H82" s="1848" t="e">
        <f t="shared" ref="H82:H89" si="1">E82/F82</f>
        <v>#DIV/0!</v>
      </c>
      <c r="I82" s="1848" t="e">
        <f t="shared" ref="I82:I89" si="2">E82/G82</f>
        <v>#DIV/0!</v>
      </c>
      <c r="J82" s="1834">
        <v>2.75</v>
      </c>
      <c r="K82" s="1292" t="e">
        <f t="shared" ref="K82:K88" si="3">(H82+I82+J82)*C82</f>
        <v>#DIV/0!</v>
      </c>
      <c r="L82" s="1835">
        <f>L80</f>
        <v>0</v>
      </c>
      <c r="M82" s="1835" t="e">
        <f t="shared" ref="M82:M89" si="4">L82*K82</f>
        <v>#DIV/0!</v>
      </c>
      <c r="N82" s="1835">
        <f t="shared" ref="N82:N90" si="5">E82*2</f>
        <v>0</v>
      </c>
      <c r="O82" s="1835">
        <f t="shared" ref="O82:O88" si="6">N82*C82</f>
        <v>0</v>
      </c>
      <c r="P82" s="1835">
        <f>P80</f>
        <v>0</v>
      </c>
      <c r="Q82" s="1835">
        <f t="shared" ref="Q82:Q89" si="7">P82*O82</f>
        <v>0</v>
      </c>
      <c r="R82" s="1836"/>
      <c r="S82" s="1837" t="e">
        <f t="shared" ref="S82:S89" si="8">M82+Q82</f>
        <v>#DIV/0!</v>
      </c>
    </row>
    <row r="83" spans="1:19" s="431" customFormat="1" ht="15.75">
      <c r="A83" s="1840" t="s">
        <v>6</v>
      </c>
      <c r="B83" s="1839" t="s">
        <v>624</v>
      </c>
      <c r="C83" s="1292">
        <f>C28</f>
        <v>0</v>
      </c>
      <c r="D83" s="1841"/>
      <c r="E83" s="1830">
        <f>E80</f>
        <v>0</v>
      </c>
      <c r="F83" s="1292">
        <f t="shared" si="0"/>
        <v>0</v>
      </c>
      <c r="G83" s="1292">
        <f t="shared" si="0"/>
        <v>0</v>
      </c>
      <c r="H83" s="1848" t="e">
        <f t="shared" si="1"/>
        <v>#DIV/0!</v>
      </c>
      <c r="I83" s="1848" t="e">
        <f t="shared" si="2"/>
        <v>#DIV/0!</v>
      </c>
      <c r="J83" s="1834">
        <v>2.75</v>
      </c>
      <c r="K83" s="1292" t="e">
        <f t="shared" si="3"/>
        <v>#DIV/0!</v>
      </c>
      <c r="L83" s="1835">
        <f>L14</f>
        <v>0</v>
      </c>
      <c r="M83" s="1835" t="e">
        <f t="shared" si="4"/>
        <v>#DIV/0!</v>
      </c>
      <c r="N83" s="1835">
        <f t="shared" si="5"/>
        <v>0</v>
      </c>
      <c r="O83" s="1835">
        <f t="shared" si="6"/>
        <v>0</v>
      </c>
      <c r="P83" s="1835">
        <f>P28</f>
        <v>0</v>
      </c>
      <c r="Q83" s="1835">
        <f t="shared" si="7"/>
        <v>0</v>
      </c>
      <c r="R83" s="1836"/>
      <c r="S83" s="1837" t="e">
        <f t="shared" si="8"/>
        <v>#DIV/0!</v>
      </c>
    </row>
    <row r="84" spans="1:19" s="431" customFormat="1" ht="15.75">
      <c r="A84" s="1840" t="s">
        <v>810</v>
      </c>
      <c r="B84" s="1839" t="s">
        <v>609</v>
      </c>
      <c r="C84" s="1292">
        <v>2</v>
      </c>
      <c r="D84" s="1841"/>
      <c r="E84" s="1830">
        <f>E80</f>
        <v>0</v>
      </c>
      <c r="F84" s="1292">
        <f t="shared" si="0"/>
        <v>0</v>
      </c>
      <c r="G84" s="1292">
        <f t="shared" si="0"/>
        <v>0</v>
      </c>
      <c r="H84" s="1848" t="e">
        <f t="shared" si="1"/>
        <v>#DIV/0!</v>
      </c>
      <c r="I84" s="1848" t="e">
        <f t="shared" si="2"/>
        <v>#DIV/0!</v>
      </c>
      <c r="J84" s="1834">
        <v>0</v>
      </c>
      <c r="K84" s="1292" t="e">
        <f t="shared" si="3"/>
        <v>#DIV/0!</v>
      </c>
      <c r="L84" s="1835">
        <f>L15</f>
        <v>0</v>
      </c>
      <c r="M84" s="1835" t="e">
        <f t="shared" si="4"/>
        <v>#DIV/0!</v>
      </c>
      <c r="N84" s="1835">
        <f t="shared" si="5"/>
        <v>0</v>
      </c>
      <c r="O84" s="1835">
        <f t="shared" si="6"/>
        <v>0</v>
      </c>
      <c r="P84" s="1835">
        <f>P29</f>
        <v>0</v>
      </c>
      <c r="Q84" s="1835">
        <f t="shared" si="7"/>
        <v>0</v>
      </c>
      <c r="R84" s="1836"/>
      <c r="S84" s="1837" t="e">
        <f t="shared" si="8"/>
        <v>#DIV/0!</v>
      </c>
    </row>
    <row r="85" spans="1:19" s="431" customFormat="1" ht="15.75">
      <c r="A85" s="1840" t="s">
        <v>811</v>
      </c>
      <c r="B85" s="1839" t="s">
        <v>611</v>
      </c>
      <c r="C85" s="1838">
        <v>1</v>
      </c>
      <c r="D85" s="1841"/>
      <c r="E85" s="1830">
        <f>E80</f>
        <v>0</v>
      </c>
      <c r="F85" s="1292">
        <f>F31</f>
        <v>0</v>
      </c>
      <c r="G85" s="1292">
        <f>G31</f>
        <v>0</v>
      </c>
      <c r="H85" s="1848" t="e">
        <f t="shared" si="1"/>
        <v>#DIV/0!</v>
      </c>
      <c r="I85" s="1848" t="e">
        <f t="shared" si="2"/>
        <v>#DIV/0!</v>
      </c>
      <c r="J85" s="1834">
        <v>0</v>
      </c>
      <c r="K85" s="1292" t="e">
        <f t="shared" si="3"/>
        <v>#DIV/0!</v>
      </c>
      <c r="L85" s="1835">
        <f t="shared" ref="L85:L88" si="9">L17</f>
        <v>0</v>
      </c>
      <c r="M85" s="1835" t="e">
        <f t="shared" si="4"/>
        <v>#DIV/0!</v>
      </c>
      <c r="N85" s="1835">
        <f t="shared" si="5"/>
        <v>0</v>
      </c>
      <c r="O85" s="1835">
        <f t="shared" si="6"/>
        <v>0</v>
      </c>
      <c r="P85" s="1835">
        <f>P31</f>
        <v>0</v>
      </c>
      <c r="Q85" s="1835">
        <f t="shared" si="7"/>
        <v>0</v>
      </c>
      <c r="R85" s="1836"/>
      <c r="S85" s="1837" t="e">
        <f t="shared" si="8"/>
        <v>#DIV/0!</v>
      </c>
    </row>
    <row r="86" spans="1:19" s="431" customFormat="1" ht="15.75">
      <c r="A86" s="1840" t="s">
        <v>812</v>
      </c>
      <c r="B86" s="1839" t="s">
        <v>613</v>
      </c>
      <c r="C86" s="1838">
        <v>1</v>
      </c>
      <c r="D86" s="1841"/>
      <c r="E86" s="1830">
        <f>E80</f>
        <v>0</v>
      </c>
      <c r="F86" s="1292">
        <f t="shared" ref="F86:G90" si="10">F32</f>
        <v>0</v>
      </c>
      <c r="G86" s="1292">
        <f t="shared" si="10"/>
        <v>0</v>
      </c>
      <c r="H86" s="1848" t="e">
        <f t="shared" si="1"/>
        <v>#DIV/0!</v>
      </c>
      <c r="I86" s="1848" t="e">
        <f t="shared" si="2"/>
        <v>#DIV/0!</v>
      </c>
      <c r="J86" s="1834">
        <v>2.75</v>
      </c>
      <c r="K86" s="1292" t="e">
        <f t="shared" si="3"/>
        <v>#DIV/0!</v>
      </c>
      <c r="L86" s="1835">
        <f t="shared" si="9"/>
        <v>0</v>
      </c>
      <c r="M86" s="1835" t="e">
        <f t="shared" si="4"/>
        <v>#DIV/0!</v>
      </c>
      <c r="N86" s="1835">
        <f t="shared" si="5"/>
        <v>0</v>
      </c>
      <c r="O86" s="1835">
        <f t="shared" si="6"/>
        <v>0</v>
      </c>
      <c r="P86" s="1835">
        <f t="shared" ref="P86:P89" si="11">P32</f>
        <v>0</v>
      </c>
      <c r="Q86" s="1835">
        <f t="shared" si="7"/>
        <v>0</v>
      </c>
      <c r="R86" s="1836"/>
      <c r="S86" s="1837" t="e">
        <f t="shared" si="8"/>
        <v>#DIV/0!</v>
      </c>
    </row>
    <row r="87" spans="1:19" s="52" customFormat="1" ht="15.75">
      <c r="A87" s="1840" t="s">
        <v>813</v>
      </c>
      <c r="B87" s="1839" t="s">
        <v>615</v>
      </c>
      <c r="C87" s="1838">
        <v>1</v>
      </c>
      <c r="D87" s="1841"/>
      <c r="E87" s="1841">
        <f>E80</f>
        <v>0</v>
      </c>
      <c r="F87" s="1292">
        <f t="shared" si="10"/>
        <v>0</v>
      </c>
      <c r="G87" s="1292">
        <f t="shared" si="10"/>
        <v>0</v>
      </c>
      <c r="H87" s="1848" t="e">
        <f t="shared" si="1"/>
        <v>#DIV/0!</v>
      </c>
      <c r="I87" s="1848" t="e">
        <f t="shared" si="2"/>
        <v>#DIV/0!</v>
      </c>
      <c r="J87" s="1834">
        <v>2.75</v>
      </c>
      <c r="K87" s="1292" t="e">
        <f t="shared" si="3"/>
        <v>#DIV/0!</v>
      </c>
      <c r="L87" s="1835">
        <f t="shared" si="9"/>
        <v>0</v>
      </c>
      <c r="M87" s="1835" t="e">
        <f t="shared" si="4"/>
        <v>#DIV/0!</v>
      </c>
      <c r="N87" s="1835">
        <f t="shared" si="5"/>
        <v>0</v>
      </c>
      <c r="O87" s="1835">
        <f t="shared" si="6"/>
        <v>0</v>
      </c>
      <c r="P87" s="1835">
        <f t="shared" si="11"/>
        <v>0</v>
      </c>
      <c r="Q87" s="1835">
        <f t="shared" si="7"/>
        <v>0</v>
      </c>
      <c r="R87" s="1836"/>
      <c r="S87" s="1837" t="e">
        <f t="shared" si="8"/>
        <v>#DIV/0!</v>
      </c>
    </row>
    <row r="88" spans="1:19" s="432" customFormat="1" ht="15.75">
      <c r="A88" s="1840" t="s">
        <v>814</v>
      </c>
      <c r="B88" s="1839" t="s">
        <v>617</v>
      </c>
      <c r="C88" s="1838">
        <v>1</v>
      </c>
      <c r="D88" s="1841"/>
      <c r="E88" s="1841">
        <f>E80</f>
        <v>0</v>
      </c>
      <c r="F88" s="1292">
        <f t="shared" si="10"/>
        <v>0</v>
      </c>
      <c r="G88" s="1292">
        <f t="shared" si="10"/>
        <v>0</v>
      </c>
      <c r="H88" s="1848" t="e">
        <f t="shared" si="1"/>
        <v>#DIV/0!</v>
      </c>
      <c r="I88" s="1848" t="e">
        <f t="shared" si="2"/>
        <v>#DIV/0!</v>
      </c>
      <c r="J88" s="1834">
        <v>0</v>
      </c>
      <c r="K88" s="1292" t="e">
        <f t="shared" si="3"/>
        <v>#DIV/0!</v>
      </c>
      <c r="L88" s="1835">
        <f t="shared" si="9"/>
        <v>0</v>
      </c>
      <c r="M88" s="1835" t="e">
        <f t="shared" si="4"/>
        <v>#DIV/0!</v>
      </c>
      <c r="N88" s="1835">
        <f t="shared" si="5"/>
        <v>0</v>
      </c>
      <c r="O88" s="1835">
        <f t="shared" si="6"/>
        <v>0</v>
      </c>
      <c r="P88" s="1835">
        <f t="shared" si="11"/>
        <v>0</v>
      </c>
      <c r="Q88" s="1835">
        <f t="shared" si="7"/>
        <v>0</v>
      </c>
      <c r="R88" s="1836"/>
      <c r="S88" s="1837" t="e">
        <f t="shared" si="8"/>
        <v>#DIV/0!</v>
      </c>
    </row>
    <row r="89" spans="1:19" s="432" customFormat="1" ht="15.75">
      <c r="A89" s="1840" t="s">
        <v>815</v>
      </c>
      <c r="B89" s="1839" t="s">
        <v>627</v>
      </c>
      <c r="C89" s="1838">
        <f>'[14]№ 8.1.8 Износ буриль.труб'!F20/10</f>
        <v>3.6920999999999999</v>
      </c>
      <c r="D89" s="1841"/>
      <c r="E89" s="1841">
        <f>E80</f>
        <v>0</v>
      </c>
      <c r="F89" s="1292">
        <f t="shared" si="10"/>
        <v>0</v>
      </c>
      <c r="G89" s="1292">
        <f t="shared" si="10"/>
        <v>0</v>
      </c>
      <c r="H89" s="1848" t="e">
        <f t="shared" si="1"/>
        <v>#DIV/0!</v>
      </c>
      <c r="I89" s="1848" t="e">
        <f t="shared" si="2"/>
        <v>#DIV/0!</v>
      </c>
      <c r="J89" s="1834">
        <v>2.75</v>
      </c>
      <c r="K89" s="1292" t="e">
        <f>(H89+I89+J89)*C89</f>
        <v>#DIV/0!</v>
      </c>
      <c r="L89" s="1835">
        <f>L23</f>
        <v>0</v>
      </c>
      <c r="M89" s="1835" t="e">
        <f t="shared" si="4"/>
        <v>#DIV/0!</v>
      </c>
      <c r="N89" s="1835">
        <f t="shared" si="5"/>
        <v>0</v>
      </c>
      <c r="O89" s="1835">
        <f>N89*C89</f>
        <v>0</v>
      </c>
      <c r="P89" s="1835">
        <f t="shared" si="11"/>
        <v>0</v>
      </c>
      <c r="Q89" s="1835">
        <f t="shared" si="7"/>
        <v>0</v>
      </c>
      <c r="R89" s="1836"/>
      <c r="S89" s="1837" t="e">
        <f t="shared" si="8"/>
        <v>#DIV/0!</v>
      </c>
    </row>
    <row r="90" spans="1:19" s="52" customFormat="1" ht="15.75">
      <c r="A90" s="1840" t="s">
        <v>816</v>
      </c>
      <c r="B90" s="839" t="s">
        <v>621</v>
      </c>
      <c r="C90" s="1838">
        <f>C36</f>
        <v>0</v>
      </c>
      <c r="D90" s="1841"/>
      <c r="E90" s="1841">
        <f>E80</f>
        <v>0</v>
      </c>
      <c r="F90" s="1292">
        <f t="shared" si="10"/>
        <v>0</v>
      </c>
      <c r="G90" s="1292">
        <f t="shared" si="10"/>
        <v>0</v>
      </c>
      <c r="H90" s="1848" t="e">
        <f>E90/F90</f>
        <v>#DIV/0!</v>
      </c>
      <c r="I90" s="1848" t="e">
        <f>E90/G90</f>
        <v>#DIV/0!</v>
      </c>
      <c r="J90" s="1834">
        <v>2.75</v>
      </c>
      <c r="K90" s="1292" t="e">
        <f>(H90+I90+J90)*C90</f>
        <v>#DIV/0!</v>
      </c>
      <c r="L90" s="1835">
        <f>L80</f>
        <v>0</v>
      </c>
      <c r="M90" s="1835" t="e">
        <f>L90*K90</f>
        <v>#DIV/0!</v>
      </c>
      <c r="N90" s="1835">
        <f t="shared" si="5"/>
        <v>0</v>
      </c>
      <c r="O90" s="1835">
        <f>N90*C90</f>
        <v>0</v>
      </c>
      <c r="P90" s="1835">
        <f>P80</f>
        <v>0</v>
      </c>
      <c r="Q90" s="1835">
        <f>P90*O90</f>
        <v>0</v>
      </c>
      <c r="R90" s="1836"/>
      <c r="S90" s="1837" t="e">
        <f>M90+Q90</f>
        <v>#DIV/0!</v>
      </c>
    </row>
    <row r="91" spans="1:19" s="52" customFormat="1" ht="15.75">
      <c r="A91" s="1851"/>
      <c r="B91" s="1852" t="s">
        <v>628</v>
      </c>
      <c r="C91" s="1841"/>
      <c r="D91" s="1841"/>
      <c r="E91" s="1841"/>
      <c r="F91" s="1841"/>
      <c r="G91" s="1841"/>
      <c r="H91" s="1849"/>
      <c r="I91" s="1849"/>
      <c r="J91" s="1841"/>
      <c r="K91" s="1841"/>
      <c r="L91" s="1850"/>
      <c r="M91" s="1841"/>
      <c r="N91" s="1853"/>
      <c r="O91" s="1854"/>
      <c r="P91" s="1850"/>
      <c r="Q91" s="1841"/>
      <c r="R91" s="1836"/>
      <c r="S91" s="1855" t="e">
        <f>SUM(S69:S90)</f>
        <v>#DIV/0!</v>
      </c>
    </row>
    <row r="92" spans="1:19" s="52" customFormat="1" ht="15.75">
      <c r="A92" s="1840">
        <v>3</v>
      </c>
      <c r="B92" s="1856" t="s">
        <v>817</v>
      </c>
      <c r="C92" s="1838">
        <v>2</v>
      </c>
      <c r="D92" s="1841"/>
      <c r="E92" s="1841"/>
      <c r="F92" s="1841"/>
      <c r="G92" s="1841"/>
      <c r="H92" s="1841"/>
      <c r="I92" s="1841"/>
      <c r="J92" s="1841"/>
      <c r="K92" s="1292">
        <f>Q75*11*C92</f>
        <v>0</v>
      </c>
      <c r="L92" s="1835">
        <f>L84</f>
        <v>0</v>
      </c>
      <c r="M92" s="1835">
        <f>K92*L92</f>
        <v>0</v>
      </c>
      <c r="N92" s="1853"/>
      <c r="O92" s="1854"/>
      <c r="P92" s="1850"/>
      <c r="Q92" s="1841"/>
      <c r="R92" s="1836"/>
      <c r="S92" s="1837">
        <f>M92+Q92</f>
        <v>0</v>
      </c>
    </row>
    <row r="93" spans="1:19" s="52" customFormat="1" ht="15.75">
      <c r="A93" s="1840">
        <v>4</v>
      </c>
      <c r="B93" s="1856" t="s">
        <v>818</v>
      </c>
      <c r="C93" s="1838">
        <v>1</v>
      </c>
      <c r="D93" s="1841"/>
      <c r="E93" s="1841"/>
      <c r="F93" s="1841"/>
      <c r="G93" s="1841"/>
      <c r="H93" s="1841"/>
      <c r="I93" s="1841"/>
      <c r="J93" s="1841"/>
      <c r="K93" s="1292">
        <f>Q75*11*C93</f>
        <v>0</v>
      </c>
      <c r="L93" s="1835">
        <f>L85</f>
        <v>0</v>
      </c>
      <c r="M93" s="1835">
        <f>K93*L93</f>
        <v>0</v>
      </c>
      <c r="N93" s="1853"/>
      <c r="O93" s="1854"/>
      <c r="P93" s="1850"/>
      <c r="Q93" s="1841"/>
      <c r="R93" s="1836"/>
      <c r="S93" s="1837">
        <f>M93+Q93</f>
        <v>0</v>
      </c>
    </row>
    <row r="94" spans="1:19" s="52" customFormat="1" ht="15.75">
      <c r="A94" s="1840">
        <v>5</v>
      </c>
      <c r="B94" s="1856" t="s">
        <v>817</v>
      </c>
      <c r="C94" s="1838">
        <v>2</v>
      </c>
      <c r="D94" s="1841"/>
      <c r="E94" s="1841"/>
      <c r="F94" s="1841"/>
      <c r="G94" s="1841"/>
      <c r="H94" s="1841"/>
      <c r="I94" s="1841"/>
      <c r="J94" s="1841"/>
      <c r="K94" s="1292">
        <f>Q75*11*C94</f>
        <v>0</v>
      </c>
      <c r="L94" s="1835">
        <f>L92</f>
        <v>0</v>
      </c>
      <c r="M94" s="1835">
        <f>K94*L94</f>
        <v>0</v>
      </c>
      <c r="N94" s="1853"/>
      <c r="O94" s="1854"/>
      <c r="P94" s="1850"/>
      <c r="Q94" s="1841"/>
      <c r="R94" s="1836"/>
      <c r="S94" s="1837">
        <f>M94+Q94</f>
        <v>0</v>
      </c>
    </row>
    <row r="95" spans="1:19" s="52" customFormat="1" ht="15.75">
      <c r="A95" s="1840">
        <v>6</v>
      </c>
      <c r="B95" s="864" t="s">
        <v>629</v>
      </c>
      <c r="C95" s="1838">
        <v>1</v>
      </c>
      <c r="D95" s="1841"/>
      <c r="E95" s="1841"/>
      <c r="F95" s="1841"/>
      <c r="G95" s="1841"/>
      <c r="H95" s="1841"/>
      <c r="I95" s="1841"/>
      <c r="J95" s="1841"/>
      <c r="K95" s="1292">
        <f>Q75*11*C96</f>
        <v>0</v>
      </c>
      <c r="L95" s="1835">
        <f>L41</f>
        <v>0</v>
      </c>
      <c r="M95" s="1835">
        <f>K95*L95</f>
        <v>0</v>
      </c>
      <c r="N95" s="1853"/>
      <c r="O95" s="1854"/>
      <c r="P95" s="1850"/>
      <c r="Q95" s="1841"/>
      <c r="R95" s="1836"/>
      <c r="S95" s="1837">
        <f>M95+Q95</f>
        <v>0</v>
      </c>
    </row>
    <row r="96" spans="1:19" s="52" customFormat="1" ht="15.75">
      <c r="A96" s="1840">
        <v>7</v>
      </c>
      <c r="B96" s="839" t="s">
        <v>630</v>
      </c>
      <c r="C96" s="1838">
        <v>1</v>
      </c>
      <c r="D96" s="1841"/>
      <c r="E96" s="1841"/>
      <c r="F96" s="1841"/>
      <c r="G96" s="1841"/>
      <c r="H96" s="1841"/>
      <c r="I96" s="1841"/>
      <c r="J96" s="1841"/>
      <c r="K96" s="1292">
        <f>Q75*11*C96</f>
        <v>0</v>
      </c>
      <c r="L96" s="1835">
        <f>L42</f>
        <v>0</v>
      </c>
      <c r="M96" s="1835">
        <f>K96*L96</f>
        <v>0</v>
      </c>
      <c r="N96" s="1853"/>
      <c r="O96" s="1854"/>
      <c r="P96" s="1850"/>
      <c r="Q96" s="1841"/>
      <c r="R96" s="1836"/>
      <c r="S96" s="1837">
        <f>M96+Q96</f>
        <v>0</v>
      </c>
    </row>
    <row r="97" spans="1:19" s="52" customFormat="1" ht="15.75">
      <c r="A97" s="1840"/>
      <c r="B97" s="1868" t="s">
        <v>648</v>
      </c>
      <c r="C97" s="1838"/>
      <c r="D97" s="1841"/>
      <c r="E97" s="1841"/>
      <c r="F97" s="1841"/>
      <c r="G97" s="1841"/>
      <c r="H97" s="1841"/>
      <c r="I97" s="1841"/>
      <c r="J97" s="1841"/>
      <c r="K97" s="1292"/>
      <c r="L97" s="1835"/>
      <c r="M97" s="1835"/>
      <c r="N97" s="1853"/>
      <c r="O97" s="1854"/>
      <c r="P97" s="1850"/>
      <c r="Q97" s="1841"/>
      <c r="R97" s="1836"/>
      <c r="S97" s="1855">
        <f>SUM(S92:S96)</f>
        <v>0</v>
      </c>
    </row>
    <row r="98" spans="1:19" s="52" customFormat="1" ht="15.75">
      <c r="A98" s="1840">
        <v>8</v>
      </c>
      <c r="B98" s="839" t="s">
        <v>643</v>
      </c>
      <c r="C98" s="1841"/>
      <c r="D98" s="1841"/>
      <c r="E98" s="1841"/>
      <c r="F98" s="1841"/>
      <c r="G98" s="1841"/>
      <c r="H98" s="1841"/>
      <c r="I98" s="1841"/>
      <c r="J98" s="1841"/>
      <c r="K98" s="1841"/>
      <c r="L98" s="1859"/>
      <c r="M98" s="1841"/>
      <c r="N98" s="1845"/>
      <c r="O98" s="1860"/>
      <c r="P98" s="1860"/>
      <c r="Q98" s="1841"/>
      <c r="R98" s="1836"/>
      <c r="S98" s="1855">
        <f>32877.12*Q75</f>
        <v>0</v>
      </c>
    </row>
    <row r="99" spans="1:19" s="52" customFormat="1" ht="15.75">
      <c r="A99" s="1840">
        <v>9</v>
      </c>
      <c r="B99" s="839" t="s">
        <v>646</v>
      </c>
      <c r="C99" s="1841"/>
      <c r="D99" s="1841"/>
      <c r="E99" s="1841"/>
      <c r="F99" s="1841"/>
      <c r="G99" s="1841"/>
      <c r="H99" s="1841"/>
      <c r="I99" s="1841"/>
      <c r="J99" s="1841"/>
      <c r="K99" s="1841"/>
      <c r="L99" s="1859"/>
      <c r="M99" s="1841"/>
      <c r="N99" s="1845"/>
      <c r="O99" s="1860"/>
      <c r="P99" s="1860"/>
      <c r="Q99" s="1841"/>
      <c r="R99" s="1836"/>
      <c r="S99" s="1855">
        <f>S98*72%</f>
        <v>0</v>
      </c>
    </row>
    <row r="100" spans="1:19" s="52" customFormat="1" ht="15.75">
      <c r="A100" s="1861">
        <v>10</v>
      </c>
      <c r="B100" s="839" t="s">
        <v>355</v>
      </c>
      <c r="C100" s="1862"/>
      <c r="D100" s="1862"/>
      <c r="E100" s="1862"/>
      <c r="F100" s="1862"/>
      <c r="G100" s="1862"/>
      <c r="H100" s="1862"/>
      <c r="I100" s="1862"/>
      <c r="J100" s="1862"/>
      <c r="K100" s="1862"/>
      <c r="L100" s="1863"/>
      <c r="M100" s="1862"/>
      <c r="N100" s="1864"/>
      <c r="O100" s="1865"/>
      <c r="P100" s="1865"/>
      <c r="Q100" s="1862"/>
      <c r="R100" s="1866"/>
      <c r="S100" s="1855">
        <f>S98*48%</f>
        <v>0</v>
      </c>
    </row>
    <row r="101" spans="1:19" s="52" customFormat="1" ht="15.75">
      <c r="A101" s="1867">
        <v>11</v>
      </c>
      <c r="B101" s="1868" t="s">
        <v>67</v>
      </c>
      <c r="C101" s="1862"/>
      <c r="D101" s="1862"/>
      <c r="E101" s="1862"/>
      <c r="F101" s="1862"/>
      <c r="G101" s="1862"/>
      <c r="H101" s="1862"/>
      <c r="I101" s="1862"/>
      <c r="J101" s="1862"/>
      <c r="K101" s="1862"/>
      <c r="L101" s="1863"/>
      <c r="M101" s="1862"/>
      <c r="N101" s="1864"/>
      <c r="O101" s="1865"/>
      <c r="P101" s="1865"/>
      <c r="Q101" s="1862"/>
      <c r="R101" s="1866"/>
      <c r="S101" s="1855">
        <f>SUM(S98:S100)</f>
        <v>0</v>
      </c>
    </row>
    <row r="102" spans="1:19" s="52" customFormat="1" ht="15.75">
      <c r="A102" s="1867">
        <v>12</v>
      </c>
      <c r="B102" s="1869" t="s">
        <v>644</v>
      </c>
      <c r="C102" s="1862"/>
      <c r="D102" s="1862"/>
      <c r="E102" s="1862"/>
      <c r="F102" s="1862"/>
      <c r="G102" s="1862"/>
      <c r="H102" s="1862"/>
      <c r="I102" s="1862"/>
      <c r="J102" s="1862"/>
      <c r="K102" s="1292">
        <f>24*Q75</f>
        <v>0</v>
      </c>
      <c r="L102" s="1835">
        <f>L60</f>
        <v>0</v>
      </c>
      <c r="M102" s="1835">
        <f>K102*L102</f>
        <v>0</v>
      </c>
      <c r="N102" s="1864"/>
      <c r="O102" s="1865"/>
      <c r="P102" s="1865"/>
      <c r="Q102" s="1862"/>
      <c r="R102" s="1866"/>
      <c r="S102" s="1837">
        <f>M102+Q102</f>
        <v>0</v>
      </c>
    </row>
    <row r="103" spans="1:19" s="52" customFormat="1" ht="15.75">
      <c r="A103" s="1867">
        <v>13</v>
      </c>
      <c r="B103" s="1869" t="s">
        <v>645</v>
      </c>
      <c r="C103" s="1870"/>
      <c r="D103" s="1870"/>
      <c r="E103" s="1870"/>
      <c r="F103" s="1870"/>
      <c r="G103" s="1870"/>
      <c r="H103" s="1870"/>
      <c r="I103" s="1870"/>
      <c r="J103" s="1870"/>
      <c r="K103" s="1292">
        <f>24*Q75</f>
        <v>0</v>
      </c>
      <c r="L103" s="1835">
        <f>L61</f>
        <v>0</v>
      </c>
      <c r="M103" s="1835">
        <f>K103*L103</f>
        <v>0</v>
      </c>
      <c r="N103" s="1871"/>
      <c r="O103" s="1871"/>
      <c r="P103" s="1872"/>
      <c r="Q103" s="1870"/>
      <c r="R103" s="1870"/>
      <c r="S103" s="1837">
        <f>M103+Q103</f>
        <v>0</v>
      </c>
    </row>
    <row r="104" spans="1:19" s="52" customFormat="1" ht="15.75">
      <c r="A104" s="1867"/>
      <c r="B104" s="1166" t="s">
        <v>274</v>
      </c>
      <c r="C104" s="1873"/>
      <c r="D104" s="1873"/>
      <c r="E104" s="1873"/>
      <c r="F104" s="1873"/>
      <c r="G104" s="1873"/>
      <c r="H104" s="1874"/>
      <c r="I104" s="1874"/>
      <c r="J104" s="1873"/>
      <c r="K104" s="1873"/>
      <c r="L104" s="1875"/>
      <c r="M104" s="1876"/>
      <c r="N104" s="1877"/>
      <c r="O104" s="1877"/>
      <c r="P104" s="1875"/>
      <c r="Q104" s="1873"/>
      <c r="R104" s="1878"/>
      <c r="S104" s="1879">
        <f>SUM(M104)</f>
        <v>0</v>
      </c>
    </row>
    <row r="105" spans="1:19" s="52" customFormat="1" ht="15.75">
      <c r="A105" s="1867"/>
      <c r="B105" s="1166" t="s">
        <v>399</v>
      </c>
      <c r="C105" s="1873"/>
      <c r="D105" s="1873"/>
      <c r="E105" s="1873"/>
      <c r="F105" s="1873"/>
      <c r="G105" s="1873"/>
      <c r="H105" s="1874"/>
      <c r="I105" s="1874"/>
      <c r="J105" s="1876"/>
      <c r="K105" s="1880"/>
      <c r="L105" s="1875"/>
      <c r="M105" s="1876"/>
      <c r="N105" s="1877"/>
      <c r="O105" s="1877"/>
      <c r="P105" s="1875"/>
      <c r="Q105" s="1873"/>
      <c r="R105" s="1878"/>
      <c r="S105" s="1879">
        <f>M105</f>
        <v>0</v>
      </c>
    </row>
    <row r="106" spans="1:19" s="52" customFormat="1" ht="15.75">
      <c r="A106" s="1867"/>
      <c r="B106" s="1166" t="s">
        <v>275</v>
      </c>
      <c r="C106" s="1873"/>
      <c r="D106" s="1873"/>
      <c r="E106" s="1873"/>
      <c r="F106" s="1873"/>
      <c r="G106" s="1873"/>
      <c r="H106" s="1874"/>
      <c r="I106" s="1874"/>
      <c r="J106" s="1873"/>
      <c r="K106" s="1873"/>
      <c r="L106" s="1875"/>
      <c r="M106" s="1873"/>
      <c r="N106" s="1877"/>
      <c r="O106" s="1877"/>
      <c r="P106" s="1875"/>
      <c r="Q106" s="1873"/>
      <c r="R106" s="1878"/>
      <c r="S106" s="1879">
        <f>M106</f>
        <v>0</v>
      </c>
    </row>
    <row r="107" spans="1:19" s="52" customFormat="1" ht="15.75">
      <c r="A107" s="1867"/>
      <c r="B107" s="1166" t="s">
        <v>326</v>
      </c>
      <c r="C107" s="1873"/>
      <c r="D107" s="1873"/>
      <c r="E107" s="1873"/>
      <c r="F107" s="1873"/>
      <c r="G107" s="1873"/>
      <c r="H107" s="1874"/>
      <c r="I107" s="1874"/>
      <c r="J107" s="1873"/>
      <c r="K107" s="1873"/>
      <c r="L107" s="1875"/>
      <c r="M107" s="1873"/>
      <c r="N107" s="1877"/>
      <c r="O107" s="1877"/>
      <c r="P107" s="1875"/>
      <c r="Q107" s="1873"/>
      <c r="R107" s="1878"/>
      <c r="S107" s="1881">
        <f>L107</f>
        <v>0</v>
      </c>
    </row>
    <row r="108" spans="1:19" ht="15.75">
      <c r="A108" s="1851">
        <v>14</v>
      </c>
      <c r="B108" s="865" t="s">
        <v>67</v>
      </c>
      <c r="C108" s="1841"/>
      <c r="D108" s="1841"/>
      <c r="E108" s="1841"/>
      <c r="F108" s="1841"/>
      <c r="G108" s="1841"/>
      <c r="H108" s="1841"/>
      <c r="I108" s="1841"/>
      <c r="J108" s="1841"/>
      <c r="K108" s="1841"/>
      <c r="L108" s="1844"/>
      <c r="M108" s="1841"/>
      <c r="N108" s="1853"/>
      <c r="O108" s="1854"/>
      <c r="P108" s="1850"/>
      <c r="Q108" s="1841"/>
      <c r="R108" s="1836"/>
      <c r="S108" s="1855" t="e">
        <f>S91+S97+S101+S102+S103+S104+S105+S106+S107</f>
        <v>#DIV/0!</v>
      </c>
    </row>
    <row r="109" spans="1:19" ht="15.75">
      <c r="A109" s="1895">
        <v>15</v>
      </c>
      <c r="B109" s="1896" t="s">
        <v>401</v>
      </c>
      <c r="C109" s="1897"/>
      <c r="D109" s="1897"/>
      <c r="E109" s="1897"/>
      <c r="F109" s="1897"/>
      <c r="G109" s="1897"/>
      <c r="H109" s="1897"/>
      <c r="I109" s="1897"/>
      <c r="J109" s="1897"/>
      <c r="K109" s="1897"/>
      <c r="L109" s="1898"/>
      <c r="M109" s="1897"/>
      <c r="N109" s="1898"/>
      <c r="O109" s="1898"/>
      <c r="P109" s="1899"/>
      <c r="Q109" s="1897"/>
      <c r="R109" s="1897"/>
      <c r="S109" s="1900" t="e">
        <f>S108*0.2</f>
        <v>#DIV/0!</v>
      </c>
    </row>
    <row r="110" spans="1:19" ht="16.5" thickBot="1">
      <c r="A110" s="1886">
        <v>16</v>
      </c>
      <c r="B110" s="1887" t="s">
        <v>70</v>
      </c>
      <c r="C110" s="1888"/>
      <c r="D110" s="1888"/>
      <c r="E110" s="1888"/>
      <c r="F110" s="1888"/>
      <c r="G110" s="1888"/>
      <c r="H110" s="1888"/>
      <c r="I110" s="1888"/>
      <c r="J110" s="1888"/>
      <c r="K110" s="1888"/>
      <c r="L110" s="1889"/>
      <c r="M110" s="1888"/>
      <c r="N110" s="1889"/>
      <c r="O110" s="1889"/>
      <c r="P110" s="1890"/>
      <c r="Q110" s="1888"/>
      <c r="R110" s="1888"/>
      <c r="S110" s="1891" t="e">
        <f>SUM(S108:S109)</f>
        <v>#DIV/0!</v>
      </c>
    </row>
    <row r="111" spans="1:19" ht="15.75">
      <c r="A111" s="1901"/>
      <c r="B111" s="1902"/>
      <c r="C111" s="1903"/>
      <c r="D111" s="1903"/>
      <c r="E111" s="1903"/>
      <c r="F111" s="1903"/>
      <c r="G111" s="1903"/>
      <c r="H111" s="1903"/>
      <c r="I111" s="1903"/>
      <c r="J111" s="1903"/>
      <c r="K111" s="1903"/>
      <c r="L111" s="1901"/>
      <c r="M111" s="1903"/>
      <c r="N111" s="1901"/>
      <c r="O111" s="1901"/>
      <c r="P111" s="1904"/>
      <c r="Q111" s="1903"/>
      <c r="R111" s="1903"/>
      <c r="S111" s="1905"/>
    </row>
    <row r="112" spans="1:19" ht="15.75">
      <c r="A112" s="1901"/>
      <c r="B112" s="1902"/>
      <c r="C112" s="1903"/>
      <c r="D112" s="1903"/>
      <c r="E112" s="1903"/>
      <c r="F112" s="1903"/>
      <c r="G112" s="1903"/>
      <c r="H112" s="1903"/>
      <c r="I112" s="1903"/>
      <c r="J112" s="1903"/>
      <c r="K112" s="1903"/>
      <c r="L112" s="1901"/>
      <c r="M112" s="1903"/>
      <c r="N112" s="1901"/>
      <c r="O112" s="1901"/>
      <c r="P112" s="1904"/>
      <c r="Q112" s="1903"/>
      <c r="R112" s="1903"/>
      <c r="S112" s="1905"/>
    </row>
    <row r="113" spans="1:10" s="77" customFormat="1" ht="15.75">
      <c r="A113" s="2297" t="str">
        <f>'[14]№9 площ.'!B24</f>
        <v>Директор ООО "УК "Ресурс" Управляющей компании ООО "Отрадное"</v>
      </c>
      <c r="B113" s="2297"/>
      <c r="C113" s="27"/>
      <c r="D113" s="2291"/>
      <c r="E113" s="2291"/>
      <c r="F113" s="260"/>
      <c r="G113" s="2292" t="str">
        <f>'[14]№9 площ.'!E24</f>
        <v>В.В.Асташкин</v>
      </c>
      <c r="H113" s="2292"/>
    </row>
    <row r="114" spans="1:10" s="77" customFormat="1" ht="15">
      <c r="A114" s="2298" t="s">
        <v>126</v>
      </c>
      <c r="B114" s="2298"/>
      <c r="D114" s="2293" t="s">
        <v>124</v>
      </c>
      <c r="E114" s="2293"/>
      <c r="F114" s="108"/>
      <c r="G114" s="2294" t="s">
        <v>127</v>
      </c>
      <c r="H114" s="2294"/>
    </row>
    <row r="115" spans="1:10" s="44" customFormat="1">
      <c r="A115" s="56"/>
      <c r="B115" s="53"/>
      <c r="C115" s="55"/>
      <c r="D115" s="55"/>
      <c r="E115" s="53"/>
      <c r="F115" s="53"/>
      <c r="G115" s="53"/>
      <c r="H115" s="53"/>
      <c r="I115" s="53"/>
      <c r="J115" s="53"/>
    </row>
    <row r="116" spans="1:10" s="44" customFormat="1">
      <c r="A116" s="56"/>
      <c r="B116" s="53"/>
      <c r="C116" s="55"/>
      <c r="D116" s="55"/>
      <c r="E116" s="53"/>
      <c r="F116" s="53"/>
      <c r="G116" s="53"/>
      <c r="H116" s="53"/>
      <c r="I116" s="53"/>
      <c r="J116" s="53"/>
    </row>
    <row r="117" spans="1:10" s="44" customFormat="1">
      <c r="A117" s="56"/>
      <c r="B117" s="53"/>
      <c r="C117" s="55"/>
      <c r="D117" s="55"/>
      <c r="E117" s="53"/>
      <c r="F117" s="53"/>
      <c r="G117" s="53"/>
      <c r="H117" s="53"/>
      <c r="I117" s="53"/>
      <c r="J117" s="53"/>
    </row>
    <row r="118" spans="1:10" s="44" customFormat="1">
      <c r="A118" s="57"/>
      <c r="B118" s="42"/>
      <c r="C118" s="43"/>
      <c r="D118" s="43"/>
      <c r="E118" s="43"/>
      <c r="F118" s="43"/>
      <c r="G118" s="43"/>
      <c r="H118" s="43"/>
      <c r="I118" s="43"/>
      <c r="J118" s="43"/>
    </row>
    <row r="119" spans="1:10" s="44" customFormat="1">
      <c r="A119" s="57"/>
      <c r="B119" s="42"/>
      <c r="C119" s="43"/>
      <c r="D119" s="43"/>
      <c r="E119" s="43"/>
      <c r="F119" s="43"/>
      <c r="G119" s="43"/>
      <c r="H119" s="43"/>
      <c r="I119" s="43"/>
      <c r="J119" s="43"/>
    </row>
  </sheetData>
  <mergeCells count="28">
    <mergeCell ref="A113:B113"/>
    <mergeCell ref="D113:E113"/>
    <mergeCell ref="G113:H113"/>
    <mergeCell ref="A114:B114"/>
    <mergeCell ref="D114:E114"/>
    <mergeCell ref="G114:H114"/>
    <mergeCell ref="A71:S71"/>
    <mergeCell ref="B72:S72"/>
    <mergeCell ref="H74:I74"/>
    <mergeCell ref="K74:L74"/>
    <mergeCell ref="A76:A77"/>
    <mergeCell ref="B76:B77"/>
    <mergeCell ref="F76:G76"/>
    <mergeCell ref="H76:I76"/>
    <mergeCell ref="H7:I7"/>
    <mergeCell ref="K7:L7"/>
    <mergeCell ref="O7:T7"/>
    <mergeCell ref="A9:A10"/>
    <mergeCell ref="B9:B10"/>
    <mergeCell ref="F9:G9"/>
    <mergeCell ref="H9:I9"/>
    <mergeCell ref="H6:I6"/>
    <mergeCell ref="K6:L6"/>
    <mergeCell ref="B2:S2"/>
    <mergeCell ref="B3:S3"/>
    <mergeCell ref="B4:J4"/>
    <mergeCell ref="H5:I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40</vt:i4>
      </vt:variant>
      <vt:variant>
        <vt:lpstr>Именованные диапазоны</vt:lpstr>
      </vt:variant>
      <vt:variant>
        <vt:i4>20</vt:i4>
      </vt:variant>
    </vt:vector>
  </HeadingPairs>
  <TitlesOfParts>
    <vt:vector size="60" baseType="lpstr">
      <vt:lpstr>Комм пред </vt:lpstr>
      <vt:lpstr>Хим. скв 21</vt:lpstr>
      <vt:lpstr>Хим. скв 45</vt:lpstr>
      <vt:lpstr>Хим. скв 156</vt:lpstr>
      <vt:lpstr>ГГД</vt:lpstr>
      <vt:lpstr>ННБ</vt:lpstr>
      <vt:lpstr>№9 21; 45; 156</vt:lpstr>
      <vt:lpstr>№1,6 Мобил., демоб  БУ</vt:lpstr>
      <vt:lpstr>№2.4.переезд скв. 45</vt:lpstr>
      <vt:lpstr>№2.4.1.переезд скв. 156</vt:lpstr>
      <vt:lpstr>№2.1.Монтаж БУ</vt:lpstr>
      <vt:lpstr>№5.1Демонтаж БУ</vt:lpstr>
      <vt:lpstr>№2.2 Арт.скв.</vt:lpstr>
      <vt:lpstr>№2.3 ПНР</vt:lpstr>
      <vt:lpstr>№2.4.1 Тех.стаскивание</vt:lpstr>
      <vt:lpstr>№ 8.1  ННС 21</vt:lpstr>
      <vt:lpstr>График ВМР (пример)</vt:lpstr>
      <vt:lpstr>Расчет ННБ</vt:lpstr>
      <vt:lpstr>ГГД пилот</vt:lpstr>
      <vt:lpstr>ГГД (расчет моста)</vt:lpstr>
      <vt:lpstr>График ВМР (Самсонов)</vt:lpstr>
      <vt:lpstr>График работ</vt:lpstr>
      <vt:lpstr>№ 8.1 ГС 45</vt:lpstr>
      <vt:lpstr>№ 8.1 ГС 156</vt:lpstr>
      <vt:lpstr>№13 Суточная ставка</vt:lpstr>
      <vt:lpstr>№8.1.1 ЗП</vt:lpstr>
      <vt:lpstr>№8.1.2 Амортизация БО</vt:lpstr>
      <vt:lpstr> № 8.1.3 Амортизация БХ</vt:lpstr>
      <vt:lpstr>№ 8.1.4 энергозатраты</vt:lpstr>
      <vt:lpstr>№8.1.6 Спецтехника</vt:lpstr>
      <vt:lpstr>№8.1.7 Проч. материалы</vt:lpstr>
      <vt:lpstr>№ 8.1.8 Износ буриль.труб</vt:lpstr>
      <vt:lpstr>№8.1.9 Содержание БО</vt:lpstr>
      <vt:lpstr>№ 8.1.10 Пароводоснабжение</vt:lpstr>
      <vt:lpstr>№8.1.12 ГСМ</vt:lpstr>
      <vt:lpstr>№8.1.24 Транспорт</vt:lpstr>
      <vt:lpstr>№12 рекультивация</vt:lpstr>
      <vt:lpstr>Доставка керна</vt:lpstr>
      <vt:lpstr>№14. вывоз шлама</vt:lpstr>
      <vt:lpstr>расчет шлама</vt:lpstr>
      <vt:lpstr>'№ 8.1  ННС 21'!Заголовки_для_печати</vt:lpstr>
      <vt:lpstr>'№ 8.1 ГС 45'!Заголовки_для_печати</vt:lpstr>
      <vt:lpstr>'№5.1Демонтаж БУ'!Заголовки_для_печати</vt:lpstr>
      <vt:lpstr>'расчет шлама'!Заголовки_для_печати</vt:lpstr>
      <vt:lpstr>'№ 8.1  ННС 21'!Область_печати</vt:lpstr>
      <vt:lpstr>'№ 8.1 ГС 45'!Область_печати</vt:lpstr>
      <vt:lpstr>'№ 8.1.10 Пароводоснабжение'!Область_печати</vt:lpstr>
      <vt:lpstr>'№ 8.1.8 Износ буриль.труб'!Область_печати</vt:lpstr>
      <vt:lpstr>'№1,6 Мобил., демоб  БУ'!Область_печати</vt:lpstr>
      <vt:lpstr>'№13 Суточная ставка'!Область_печати</vt:lpstr>
      <vt:lpstr>'№2.1.Монтаж БУ'!Область_печати</vt:lpstr>
      <vt:lpstr>'№2.2 Арт.скв.'!Область_печати</vt:lpstr>
      <vt:lpstr>'№2.3 ПНР'!Область_печати</vt:lpstr>
      <vt:lpstr>'№5.1Демонтаж БУ'!Область_печати</vt:lpstr>
      <vt:lpstr>'№8.1.1 ЗП'!Область_печати</vt:lpstr>
      <vt:lpstr>'№8.1.24 Транспорт'!Область_печати</vt:lpstr>
      <vt:lpstr>'№8.1.7 Проч. материалы'!Область_печати</vt:lpstr>
      <vt:lpstr>'График ВМР (Самсонов)'!Область_печати</vt:lpstr>
      <vt:lpstr>'Комм пред '!Область_печати</vt:lpstr>
      <vt:lpstr>'расчет шлама'!Область_печати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slobodskova</dc:creator>
  <cp:lastModifiedBy>Ферзалиев Руслан Назирович</cp:lastModifiedBy>
  <cp:lastPrinted>2021-12-28T11:24:43Z</cp:lastPrinted>
  <dcterms:created xsi:type="dcterms:W3CDTF">2006-04-13T04:16:29Z</dcterms:created>
  <dcterms:modified xsi:type="dcterms:W3CDTF">2023-10-26T06:11:22Z</dcterms:modified>
</cp:coreProperties>
</file>